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i_OPTN" sheetId="1" state="visible" r:id="rId2"/>
    <sheet name="Arrivi" sheetId="2" state="visible" r:id="rId3"/>
    <sheet name="Uscite" sheetId="3" state="visible" r:id="rId4"/>
    <sheet name="Verifica - ABO ID - V1" sheetId="4" state="visible" r:id="rId5"/>
    <sheet name="Foglio2" sheetId="5" state="visible" r:id="rId6"/>
    <sheet name="Verifica - ABO ID - V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<sst xmlns="http://schemas.openxmlformats.org/spreadsheetml/2006/main" count="1362" uniqueCount="230">
  <si>
    <t xml:space="preserve">PAZIENTI - ARRIVI</t>
  </si>
  <si>
    <t xml:space="preserve">ORGANI - ARRIVI</t>
  </si>
  <si>
    <t xml:space="preserve">ABO</t>
  </si>
  <si>
    <t xml:space="preserve">Priorità</t>
  </si>
  <si>
    <t xml:space="preserve">2019</t>
  </si>
  <si>
    <t xml:space="preserve">2018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</si>
  <si>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</si>
  <si>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</si>
  <si>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</si>
  <si>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</si>
  <si>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</si>
  <si>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</si>
  <si>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</si>
  <si>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</si>
  <si>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Donor type</t>
  </si>
  <si>
    <t xml:space="preserve">All ABO</t>
  </si>
  <si>
    <t xml:space="preserve">All Types</t>
  </si>
  <si>
    <t xml:space="preserve">All Donor Types</t>
  </si>
  <si>
    <t xml:space="preserve">Critical</t>
  </si>
  <si>
    <t xml:space="preserve">Deceased Donor</t>
  </si>
  <si>
    <t xml:space="preserve">Normal</t>
  </si>
  <si>
    <t xml:space="preserve">Living Donor</t>
  </si>
  <si>
    <t xml:space="preserve">Low</t>
  </si>
  <si>
    <t xml:space="preserve">O</t>
  </si>
  <si>
    <t xml:space="preserve">A</t>
  </si>
  <si>
    <t xml:space="preserve">B</t>
  </si>
  <si>
    <t xml:space="preserve">AB</t>
  </si>
  <si>
    <t xml:space="preserve">PAZIENTI - DECESSI</t>
  </si>
  <si>
    <t xml:space="preserve">PAZIENTI - ABBANDONI (TOT)</t>
  </si>
  <si>
    <t xml:space="preserve">Priority</t>
  </si>
  <si>
    <t xml:space="preserve">TRAPIANTI</t>
  </si>
  <si>
    <t xml:space="preserve">PAZIENTI - ABBANDONI</t>
  </si>
  <si>
    <t xml:space="preserve">Rigetto</t>
  </si>
  <si>
    <t xml:space="preserve">Years PT</t>
  </si>
  <si>
    <t xml:space="preserve">No rigetto</t>
  </si>
  <si>
    <t xml:space="preserve">P(successo)</t>
  </si>
  <si>
    <t xml:space="preserve">P(Rigetto)</t>
  </si>
  <si>
    <t xml:space="preserve">PAZIENTI - ARRIVI - (2014-2019)</t>
  </si>
  <si>
    <t xml:space="preserve">PAZIENTI – ARRIVI – 2019</t>
  </si>
  <si>
    <t xml:space="preserve">PAZIENTI - ARRIVI - (2010-2019)</t>
  </si>
  <si>
    <t xml:space="preserve">p/anno</t>
  </si>
  <si>
    <t xml:space="preserve">p/giorno</t>
  </si>
  <si>
    <t xml:space="preserve">ORGANI - ARRIVI - (2014-2019)</t>
  </si>
  <si>
    <t xml:space="preserve">ORGANI – ARRIVI – 2019</t>
  </si>
  <si>
    <t xml:space="preserve">ORGANI - ARRIVI - (2010-2019)</t>
  </si>
  <si>
    <t xml:space="preserve">Tipo</t>
  </si>
  <si>
    <t xml:space="preserve">o/anno</t>
  </si>
  <si>
    <t xml:space="preserve">o/giorno</t>
  </si>
  <si>
    <t xml:space="preserve">PAZIENTI - DECESSI - (2014-2019)</t>
  </si>
  <si>
    <t xml:space="preserve">PAZIENTI – DECESSI -2019</t>
  </si>
  <si>
    <t xml:space="preserve">PAZIENTI - DECESSI - (2010-2019)</t>
  </si>
  <si>
    <t xml:space="preserve">d/anno</t>
  </si>
  <si>
    <t xml:space="preserve">d/giorno</t>
  </si>
  <si>
    <t xml:space="preserve">Probabilità</t>
  </si>
  <si>
    <t xml:space="preserve">PAZIENTI - ABBANDONI - (2014-2019)</t>
  </si>
  <si>
    <t xml:space="preserve">PAZIENTI – ABBANDONI -2019</t>
  </si>
  <si>
    <t xml:space="preserve">PAZIENTI - ABBANDONI - (2010-2019)</t>
  </si>
  <si>
    <t xml:space="preserve">r/anno</t>
  </si>
  <si>
    <t xml:space="preserve">r/giorno</t>
  </si>
  <si>
    <t xml:space="preserve">PAZIENTI - TRAPIANTI - (2014-2019)</t>
  </si>
  <si>
    <t xml:space="preserve">PAZIENTI - TRAPIANTI - 2019</t>
  </si>
  <si>
    <t xml:space="preserve">P_RIGETTO</t>
  </si>
  <si>
    <t xml:space="preserve">t/anno</t>
  </si>
  <si>
    <t xml:space="preserve">t/giorno</t>
  </si>
  <si>
    <t xml:space="preserve">Activation center</t>
  </si>
  <si>
    <t xml:space="preserve">Organ Bank</t>
  </si>
  <si>
    <t xml:space="preserve">Tasso di arrivo</t>
  </si>
  <si>
    <t xml:space="preserve">Probabilità di morte</t>
  </si>
  <si>
    <t xml:space="preserve">Probabilità di renege</t>
  </si>
  <si>
    <t xml:space="preserve">Tasso di attivazione</t>
  </si>
  <si>
    <t xml:space="preserve">E(S)</t>
  </si>
  <si>
    <t xml:space="preserve">E(Ts)</t>
  </si>
  <si>
    <t xml:space="preserve">E(Ns)</t>
  </si>
  <si>
    <t xml:space="preserve">Tasso di arrivo (organi/giorno)</t>
  </si>
  <si>
    <t xml:space="preserve">All</t>
  </si>
  <si>
    <t xml:space="preserve">Deceased</t>
  </si>
  <si>
    <t xml:space="preserve">Living</t>
  </si>
  <si>
    <t xml:space="preserve">Waiting List</t>
  </si>
  <si>
    <t xml:space="preserve">Tasso di arrivo (tot)</t>
  </si>
  <si>
    <t xml:space="preserve">Tasso di arrivo (eff)</t>
  </si>
  <si>
    <t xml:space="preserve">Matching</t>
  </si>
  <si>
    <t xml:space="preserve">Utilizzazione</t>
  </si>
  <si>
    <t xml:space="preserve">E(Tq)</t>
  </si>
  <si>
    <t xml:space="preserve">E(Nq)</t>
  </si>
  <si>
    <t xml:space="preserve">max(o_IAT, p_IAT)</t>
  </si>
  <si>
    <t xml:space="preserve">K</t>
  </si>
  <si>
    <t xml:space="preserve">Tot</t>
  </si>
  <si>
    <t xml:space="preserve">Matching per day during 10 years</t>
  </si>
  <si>
    <t xml:space="preserve">N</t>
  </si>
  <si>
    <t xml:space="preserve">Ns</t>
  </si>
  <si>
    <t xml:space="preserve">Nq</t>
  </si>
  <si>
    <t xml:space="preserve">ρ(k)</t>
  </si>
  <si>
    <t xml:space="preserve">ρ</t>
  </si>
  <si>
    <t xml:space="preserve">Matching after 10 years - no more arrivals</t>
  </si>
  <si>
    <t xml:space="preserve">Y_excess</t>
  </si>
  <si>
    <t xml:space="preserve">Node 0</t>
  </si>
  <si>
    <t xml:space="preserve">P</t>
  </si>
  <si>
    <t xml:space="preserve">λ</t>
  </si>
  <si>
    <t xml:space="preserve">p_loss</t>
  </si>
  <si>
    <t xml:space="preserve">λ'</t>
  </si>
  <si>
    <t xml:space="preserve">μ</t>
  </si>
  <si>
    <t xml:space="preserve">ρ'</t>
  </si>
  <si>
    <t xml:space="preserve">PAZIENTI – DECESSI – PROBABILITÀ</t>
  </si>
  <si>
    <t xml:space="preserve">PAZIENTI – USCITE – PROBABILITÀ</t>
  </si>
  <si>
    <t xml:space="preserve">BT</t>
  </si>
  <si>
    <t xml:space="preserve">FORMULA</t>
  </si>
  <si>
    <t xml:space="preserve">P_R</t>
  </si>
  <si>
    <t xml:space="preserve">P_APPR</t>
  </si>
  <si>
    <t xml:space="preserve">INC</t>
  </si>
  <si>
    <t xml:space="preserve">(decesso)/(arrivo+uscita)</t>
  </si>
  <si>
    <t xml:space="preserve">(uscita)/(arrivo+decesso)</t>
  </si>
  <si>
    <t xml:space="preserve">TASSI EFFETTIVI LISTA ATTESA</t>
  </si>
  <si>
    <t xml:space="preserve">TASSI DI MATCHING – (TASSO AL TRAPIANTO) CON PRIOR</t>
  </si>
  <si>
    <t xml:space="preserve">CRITICO</t>
  </si>
  <si>
    <t xml:space="preserve">(arrivo,C,O)*(1-p_uscita,O-p_decesso,O)</t>
  </si>
  <si>
    <t xml:space="preserve">tasso_effettivo_O,C</t>
  </si>
  <si>
    <t xml:space="preserve">NORMALE</t>
  </si>
  <si>
    <t xml:space="preserve">(arrivo,N,O)*(1-p_uscita,O-p_decesso,O)</t>
  </si>
  <si>
    <t xml:space="preserve">tasso_effettivo_O,N+tasso_effettivo_O,I</t>
  </si>
  <si>
    <t xml:space="preserve">(arrivo,C,A)*(1-p_uscita,A-p_decesso,A)</t>
  </si>
  <si>
    <t xml:space="preserve">tasso_effettivo_A,C</t>
  </si>
  <si>
    <t xml:space="preserve">(arrivo,N,A)*(1-p_uscita,A-p_decesso,A)</t>
  </si>
  <si>
    <t xml:space="preserve">tasso_effettivo_A,N+tasso_effettivo_A,I</t>
  </si>
  <si>
    <t xml:space="preserve">(arrivo,C,B)*(1-p_uscita,B-p_decesso,B)</t>
  </si>
  <si>
    <t xml:space="preserve">tasso_effettivo_B,C</t>
  </si>
  <si>
    <t xml:space="preserve">(arrivo,N,B)*(1-p_uscita,B-p_decesso,B)</t>
  </si>
  <si>
    <t xml:space="preserve">tasso_effettivo_B,N+tasso_effettivo_B,I</t>
  </si>
  <si>
    <t xml:space="preserve">CRITICO </t>
  </si>
  <si>
    <t xml:space="preserve">(arrivo,C,AB)*(1-p_uscita,AB-p_decesso,AB)</t>
  </si>
  <si>
    <t xml:space="preserve">tasso_effettivo_AB,C</t>
  </si>
  <si>
    <t xml:space="preserve">(arrivo,N,AB)*(1-p_uscita,AB-p_decesso,AB)</t>
  </si>
  <si>
    <t xml:space="preserve">tasso_effettivo_AB,N+tasso_effettivo_AB,I</t>
  </si>
  <si>
    <t xml:space="preserve">INATTIVI</t>
  </si>
  <si>
    <t xml:space="preserve">TASSI DI MATCHING – (TASSO AL TRAPIANTO)</t>
  </si>
  <si>
    <t xml:space="preserve">INATTIVO</t>
  </si>
  <si>
    <t xml:space="preserve">(arrivo,I,O)*(1-p_uscita,O-p_decesso,O)</t>
  </si>
  <si>
    <t xml:space="preserve">tasso_effettivo_O,C+tasso_effettivo_O,N+tasso_effettivo_O,I</t>
  </si>
  <si>
    <t xml:space="preserve">(arrivo,I,A)*(1-p_uscita,A-p_decesso,A)</t>
  </si>
  <si>
    <t xml:space="preserve">tasso_effettivo_A,C+tasso_effettivo_A,N+tasso_effettivo_A,I</t>
  </si>
  <si>
    <t xml:space="preserve">(arrivo,I,B)*(1-p_uscita,B-p_decesso,B)</t>
  </si>
  <si>
    <t xml:space="preserve">tasso_effettivo_B,C+tasso_effettivo_B,N+tasso_effettivo_B,I</t>
  </si>
  <si>
    <t xml:space="preserve">(arrivo,I,AB)*(1-p_uscita,AB-p_decesso,AB)</t>
  </si>
  <si>
    <t xml:space="preserve">tasso_effettivo_AB,C+tasso_effettivo_AB,N+tasso_effettivo_AB,I</t>
  </si>
  <si>
    <t xml:space="preserve">PROBABILITÀ H2 – SERVIZIO ORGANI</t>
  </si>
  <si>
    <t xml:space="preserve">TEMPO DI SERVIZIO H2 - STADIO 1</t>
  </si>
  <si>
    <t xml:space="preserve">TASSO DI SERVIZIO H2 – STADIO 2</t>
  </si>
  <si>
    <t xml:space="preserve">TASSO DI SERVIZIO H2</t>
  </si>
  <si>
    <t xml:space="preserve">1-P</t>
  </si>
  <si>
    <t xml:space="preserve">E(S1)</t>
  </si>
  <si>
    <t xml:space="preserve">E(S2)</t>
  </si>
  <si>
    <t xml:space="preserve">MU</t>
  </si>
  <si>
    <t xml:space="preserve">(donatori viventi_O)/(donatori totali_O)</t>
  </si>
  <si>
    <t xml:space="preserve">1/(2*P*tasso_donatore_vivente_O)</t>
  </si>
  <si>
    <t xml:space="preserve">1/(2*(1-P)*tasso_donatore_morto_O)</t>
  </si>
  <si>
    <t xml:space="preserve">P*E(s1)+(1-P)*E(s2)</t>
  </si>
  <si>
    <t xml:space="preserve">(donatori viventi_A)/(donatori totali_A)</t>
  </si>
  <si>
    <t xml:space="preserve">1/(2*P*tasso_donatore_vivente_A)</t>
  </si>
  <si>
    <t xml:space="preserve">1/(2*(1-P)*tasso_donatore_morto_A)</t>
  </si>
  <si>
    <t xml:space="preserve">(donatori viventi_B)/(donatori totali_B)</t>
  </si>
  <si>
    <t xml:space="preserve">1/(2*P*tasso_donatore_vivente_B)</t>
  </si>
  <si>
    <t xml:space="preserve">1/(2*(1-P)*tasso_donatore_morto_B)</t>
  </si>
  <si>
    <t xml:space="preserve">(donatori viventi_AB)/(donatori totali_AB)</t>
  </si>
  <si>
    <t xml:space="preserve">1/(2*P*tasso_donatore_vivente_AB)</t>
  </si>
  <si>
    <t xml:space="preserve">1/(2*(1-P)*tasso_donatore_morto_AB)</t>
  </si>
  <si>
    <t xml:space="preserve">UTILIZZAZIONE</t>
  </si>
  <si>
    <t xml:space="preserve">G(P)</t>
  </si>
  <si>
    <t xml:space="preserve">tasso_match_O*E(S)</t>
  </si>
  <si>
    <t xml:space="preserve">1/(2*P*(1-P))-1</t>
  </si>
  <si>
    <t xml:space="preserve">tasso_match_A*E(S)</t>
  </si>
  <si>
    <t xml:space="preserve">tasso_match_B*E(S)</t>
  </si>
  <si>
    <t xml:space="preserve">tasso_match_AB*E(S)</t>
  </si>
  <si>
    <t xml:space="preserve">UTILIZZAZIONE – SINGOLA CODA PRIORITÀ</t>
  </si>
  <si>
    <t xml:space="preserve">PRIORITÀ</t>
  </si>
  <si>
    <t xml:space="preserve">P1-P2</t>
  </si>
  <si>
    <t xml:space="preserve">RO1-RO2</t>
  </si>
  <si>
    <t xml:space="preserve">CRITICO (1)</t>
  </si>
  <si>
    <t xml:space="preserve">NORMALE (2)</t>
  </si>
  <si>
    <t xml:space="preserve">ASSUMO SERVIZIO ORGANI IPER-ESPONENZIALE CON I DUE STADI DI SERVIZIO</t>
  </si>
  <si>
    <t xml:space="preserve">TEMPO DI ATTESA IN CODA – LOCALE</t>
  </si>
  <si>
    <t xml:space="preserve">TEMPO DI RISPOSTA – LOCALE</t>
  </si>
  <si>
    <t xml:space="preserve">PRIORITA</t>
  </si>
  <si>
    <t xml:space="preserve">E(TQ)</t>
  </si>
  <si>
    <t xml:space="preserve">E(TS)</t>
  </si>
  <si>
    <t xml:space="preserve">RO*E(S)*(1+G(P))/2*(1-RO1)</t>
  </si>
  <si>
    <t xml:space="preserve">E(TQ1)+E(S)</t>
  </si>
  <si>
    <t xml:space="preserve">RO*E(S)*(1+G(P))/2*(1-RO1)(1-RO)</t>
  </si>
  <si>
    <t xml:space="preserve">E(TQ2)+E(S)</t>
  </si>
  <si>
    <t xml:space="preserve">CODE BILANCIATE</t>
  </si>
  <si>
    <t xml:space="preserve">TEMPO DI ATTESA – GLOBALE</t>
  </si>
  <si>
    <t xml:space="preserve">TEMPO DI RISPOSTA – GLOBALE</t>
  </si>
  <si>
    <t xml:space="preserve">P1*E(TQ1)+P2*E(TQ2)</t>
  </si>
  <si>
    <t xml:space="preserve">P1*E(TS1)+P2*E(TS2)</t>
  </si>
  <si>
    <t xml:space="preserve">NUMERO MEDIO IN CODA – LOCALE</t>
  </si>
  <si>
    <t xml:space="preserve">NUMERO MEDIO IN NODO – LOCALE</t>
  </si>
  <si>
    <t xml:space="preserve">E(NQ)</t>
  </si>
  <si>
    <t xml:space="preserve">E(NS)</t>
  </si>
  <si>
    <t xml:space="preserve">tasso_effettivo_O,C*E(TQ1)</t>
  </si>
  <si>
    <t xml:space="preserve">tasso_effettivo_O,C*E(TS1)</t>
  </si>
  <si>
    <t xml:space="preserve">tasso_effettivo_O,N*E(TQ2)</t>
  </si>
  <si>
    <t xml:space="preserve">tasso_effettivo_O,N*E(TS2)</t>
  </si>
  <si>
    <t xml:space="preserve">tasso_effettivo_A,C*E(TQ1)</t>
  </si>
  <si>
    <t xml:space="preserve">tasso_effettivo_A,C*E(TS1)</t>
  </si>
  <si>
    <t xml:space="preserve">tasso_effettivo_A,N*E(TQ2)</t>
  </si>
  <si>
    <t xml:space="preserve">tasso_effettivo_A,N*E(TS2)</t>
  </si>
  <si>
    <t xml:space="preserve">tasso_effettivo_B,C*E(TQ1)</t>
  </si>
  <si>
    <t xml:space="preserve">tasso_effettivo_B,C*E(TS1)</t>
  </si>
  <si>
    <t xml:space="preserve">tasso_effettivo_B,N*E(TQ2)</t>
  </si>
  <si>
    <t xml:space="preserve">tasso_effettivo_B,N*E(TS2)</t>
  </si>
  <si>
    <t xml:space="preserve">tasso_effettivo_AB,C*E(TQ1)</t>
  </si>
  <si>
    <t xml:space="preserve">tasso_effettivo_AB,C*E(TS1)</t>
  </si>
  <si>
    <t xml:space="preserve">tasso_effettivo_AB,N*E(TQ2)</t>
  </si>
  <si>
    <t xml:space="preserve">tasso_effettivo_AB,N*E(TS2)</t>
  </si>
  <si>
    <t xml:space="preserve">NUMERO MEDIO IN CODA – GLOBALE</t>
  </si>
  <si>
    <t xml:space="preserve">NUMERO MEDIO IN NODO – GLOBALE</t>
  </si>
  <si>
    <t xml:space="preserve">tasso_effettivo_O*E(TQ)</t>
  </si>
  <si>
    <t xml:space="preserve">tasso_effettivo_O*E(TS)</t>
  </si>
  <si>
    <t xml:space="preserve">tasso_effettivo_A*E(TQ)</t>
  </si>
  <si>
    <t xml:space="preserve">tasso_effettivo_A*E(TS)</t>
  </si>
  <si>
    <t xml:space="preserve">tasso_effettivo_B*E(TQ)</t>
  </si>
  <si>
    <t xml:space="preserve">tasso_effettivo_B*E(TS)</t>
  </si>
  <si>
    <t xml:space="preserve">tasso_effettivo_AB*E(TQ)</t>
  </si>
  <si>
    <t xml:space="preserve">tasso_effettivo_AB*E(TS)</t>
  </si>
  <si>
    <t xml:space="preserve">ASSUMO SERVIZIO ORGANI ESPONENZIALE CUMULANDO IL SERVIZIO CON I DUE TIPI DI DONATORI</t>
  </si>
  <si>
    <t xml:space="preserve">TASSO DI SERVIZIO M</t>
  </si>
  <si>
    <t xml:space="preserve">RO*E(S)/(1-RO1)</t>
  </si>
  <si>
    <t xml:space="preserve">1/(tasso_donatori_O)</t>
  </si>
  <si>
    <t xml:space="preserve">RO*E(S)/(1-RO1)*(1-RO)</t>
  </si>
  <si>
    <t xml:space="preserve">1/(tasso_donatori_A)</t>
  </si>
  <si>
    <t xml:space="preserve">1/(tasso_donatori_B)</t>
  </si>
  <si>
    <t xml:space="preserve">1/(tasso_donatori_AB)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</si>
</sst>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00000"/>
    <numFmt numFmtId="168" formatCode="#,##0.000000"/>
    <numFmt numFmtId="169" formatCode="0.00000"/>
    <numFmt numFmtId="170" formatCode="0.0000"/>
    <numFmt numFmtId="171" formatCode="#,##0.00"/>
    <numFmt numFmtId="172" formatCode="0.000"/>
    <numFmt numFmtId="173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08080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6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T19" activeCellId="0" sqref="T19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8.4"/>
    <col collapsed="false" customWidth="true" hidden="false" outlineLevel="0" max="2" min="2" style="0" width="10.42"/>
    <col collapsed="false" customWidth="true" hidden="false" outlineLevel="0" max="3" min="3" style="0" width="10.12"/>
    <col collapsed="false" customWidth="true" hidden="false" outlineLevel="0" max="4" min="4" style="0" width="9.29"/>
    <col collapsed="false" customWidth="true" hidden="false" outlineLevel="0" max="5" min="5" style="0" width="10.29"/>
    <col collapsed="false" customWidth="true" hidden="false" outlineLevel="0" max="6" min="6" style="0" width="10.12"/>
    <col collapsed="false" customWidth="true" hidden="false" outlineLevel="0" max="15" min="15" style="0" width="16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2" t="s">
        <v>2</v>
      </c>
      <c r="B2" s="3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6" t="s">
        <v>13</v>
      </c>
      <c r="N2" s="2" t="s">
        <v>2</v>
      </c>
      <c r="O2" s="3" t="s">
        <v>14</v>
      </c>
      <c r="P2" s="7" t="s">
        <v>4</v>
      </c>
      <c r="Q2" s="7" t="s">
        <v>5</v>
      </c>
      <c r="R2" s="7" t="s">
        <v>6</v>
      </c>
      <c r="S2" s="7" t="s">
        <v>7</v>
      </c>
      <c r="T2" s="7" t="s">
        <v>8</v>
      </c>
      <c r="U2" s="7" t="s">
        <v>9</v>
      </c>
      <c r="V2" s="7" t="s">
        <v>10</v>
      </c>
      <c r="W2" s="7" t="s">
        <v>11</v>
      </c>
      <c r="X2" s="7" t="s">
        <v>12</v>
      </c>
      <c r="Y2" s="3" t="s">
        <v>13</v>
      </c>
    </row>
    <row r="3" customFormat="false" ht="15" hidden="false" customHeight="false" outlineLevel="0" collapsed="false">
      <c r="A3" s="8" t="s">
        <v>15</v>
      </c>
      <c r="B3" s="0" t="s">
        <v>16</v>
      </c>
      <c r="C3" s="9" t="n">
        <v>41531</v>
      </c>
      <c r="D3" s="10" t="n">
        <v>39163</v>
      </c>
      <c r="E3" s="10" t="n">
        <v>35899</v>
      </c>
      <c r="F3" s="10" t="n">
        <v>35763</v>
      </c>
      <c r="G3" s="10" t="n">
        <v>35379</v>
      </c>
      <c r="H3" s="10" t="n">
        <v>36623</v>
      </c>
      <c r="I3" s="10" t="n">
        <v>36874</v>
      </c>
      <c r="J3" s="10" t="n">
        <v>35260</v>
      </c>
      <c r="K3" s="10" t="n">
        <v>33936</v>
      </c>
      <c r="L3" s="11" t="n">
        <v>34766</v>
      </c>
      <c r="N3" s="8" t="s">
        <v>15</v>
      </c>
      <c r="O3" s="12" t="s">
        <v>17</v>
      </c>
      <c r="P3" s="9" t="n">
        <v>18018</v>
      </c>
      <c r="Q3" s="10" t="n">
        <v>16310</v>
      </c>
      <c r="R3" s="10" t="n">
        <v>15212</v>
      </c>
      <c r="S3" s="10" t="n">
        <v>14745</v>
      </c>
      <c r="T3" s="10" t="n">
        <v>13878</v>
      </c>
      <c r="U3" s="10" t="n">
        <v>13302</v>
      </c>
      <c r="V3" s="10" t="n">
        <v>13282</v>
      </c>
      <c r="W3" s="10" t="n">
        <v>13040</v>
      </c>
      <c r="X3" s="10" t="n">
        <v>13207</v>
      </c>
      <c r="Y3" s="11" t="n">
        <v>13519</v>
      </c>
    </row>
    <row r="4" customFormat="false" ht="15" hidden="false" customHeight="false" outlineLevel="0" collapsed="false">
      <c r="A4" s="8"/>
      <c r="B4" s="0" t="s">
        <v>18</v>
      </c>
      <c r="C4" s="13" t="n">
        <v>41</v>
      </c>
      <c r="D4" s="14" t="n">
        <v>37</v>
      </c>
      <c r="E4" s="14" t="n">
        <v>19</v>
      </c>
      <c r="F4" s="14" t="n">
        <v>45</v>
      </c>
      <c r="G4" s="14" t="n">
        <v>46</v>
      </c>
      <c r="H4" s="14" t="n">
        <v>36</v>
      </c>
      <c r="I4" s="14" t="n">
        <v>29</v>
      </c>
      <c r="J4" s="14" t="n">
        <v>28</v>
      </c>
      <c r="K4" s="14" t="n">
        <v>29</v>
      </c>
      <c r="L4" s="15" t="n">
        <v>34</v>
      </c>
      <c r="N4" s="8"/>
      <c r="O4" s="12" t="s">
        <v>19</v>
      </c>
      <c r="P4" s="13" t="n">
        <v>11152</v>
      </c>
      <c r="Q4" s="14" t="n">
        <v>9867</v>
      </c>
      <c r="R4" s="14" t="n">
        <v>9401</v>
      </c>
      <c r="S4" s="14" t="n">
        <v>9116</v>
      </c>
      <c r="T4" s="14" t="n">
        <v>8250</v>
      </c>
      <c r="U4" s="14" t="n">
        <v>7763</v>
      </c>
      <c r="V4" s="14" t="n">
        <v>7548</v>
      </c>
      <c r="W4" s="14" t="n">
        <v>7421</v>
      </c>
      <c r="X4" s="14" t="n">
        <v>7434</v>
      </c>
      <c r="Y4" s="15" t="n">
        <v>7241</v>
      </c>
    </row>
    <row r="5" customFormat="false" ht="15" hidden="false" customHeight="false" outlineLevel="0" collapsed="false">
      <c r="A5" s="8"/>
      <c r="B5" s="0" t="s">
        <v>20</v>
      </c>
      <c r="C5" s="13" t="n">
        <v>31145</v>
      </c>
      <c r="D5" s="14" t="n">
        <v>29735</v>
      </c>
      <c r="E5" s="14" t="n">
        <v>27913</v>
      </c>
      <c r="F5" s="14" t="n">
        <v>27644</v>
      </c>
      <c r="G5" s="14" t="n">
        <v>26395</v>
      </c>
      <c r="H5" s="14" t="n">
        <v>25197</v>
      </c>
      <c r="I5" s="14" t="n">
        <v>25120</v>
      </c>
      <c r="J5" s="14" t="n">
        <v>24125</v>
      </c>
      <c r="K5" s="14" t="n">
        <v>23502</v>
      </c>
      <c r="L5" s="15" t="n">
        <v>24367</v>
      </c>
      <c r="N5" s="8"/>
      <c r="O5" s="12" t="s">
        <v>21</v>
      </c>
      <c r="P5" s="13" t="n">
        <v>6866</v>
      </c>
      <c r="Q5" s="14" t="n">
        <v>6443</v>
      </c>
      <c r="R5" s="14" t="n">
        <v>5811</v>
      </c>
      <c r="S5" s="14" t="n">
        <v>5629</v>
      </c>
      <c r="T5" s="14" t="n">
        <v>5628</v>
      </c>
      <c r="U5" s="14" t="n">
        <v>5539</v>
      </c>
      <c r="V5" s="14" t="n">
        <v>5734</v>
      </c>
      <c r="W5" s="14" t="n">
        <v>5619</v>
      </c>
      <c r="X5" s="14" t="n">
        <v>5773</v>
      </c>
      <c r="Y5" s="15" t="n">
        <v>6278</v>
      </c>
    </row>
    <row r="6" customFormat="false" ht="15" hidden="false" customHeight="false" outlineLevel="0" collapsed="false">
      <c r="A6" s="8"/>
      <c r="B6" s="0" t="s">
        <v>22</v>
      </c>
      <c r="C6" s="13" t="n">
        <v>10345</v>
      </c>
      <c r="D6" s="14" t="n">
        <v>9391</v>
      </c>
      <c r="E6" s="14" t="n">
        <v>7967</v>
      </c>
      <c r="F6" s="14" t="n">
        <v>8074</v>
      </c>
      <c r="G6" s="14" t="n">
        <v>8938</v>
      </c>
      <c r="H6" s="14" t="n">
        <v>11390</v>
      </c>
      <c r="I6" s="14" t="n">
        <v>11725</v>
      </c>
      <c r="J6" s="14" t="n">
        <v>11107</v>
      </c>
      <c r="K6" s="14" t="n">
        <v>10405</v>
      </c>
      <c r="L6" s="15" t="n">
        <v>10365</v>
      </c>
      <c r="N6" s="8" t="s">
        <v>23</v>
      </c>
      <c r="O6" s="12" t="s">
        <v>17</v>
      </c>
      <c r="P6" s="13" t="n">
        <v>9625</v>
      </c>
      <c r="Q6" s="14" t="n">
        <v>8673</v>
      </c>
      <c r="R6" s="14" t="n">
        <v>8159</v>
      </c>
      <c r="S6" s="14" t="n">
        <v>7956</v>
      </c>
      <c r="T6" s="14" t="n">
        <v>7513</v>
      </c>
      <c r="U6" s="14" t="n">
        <v>7156</v>
      </c>
      <c r="V6" s="14" t="n">
        <v>7211</v>
      </c>
      <c r="W6" s="14" t="n">
        <v>7064</v>
      </c>
      <c r="X6" s="14" t="n">
        <v>7244</v>
      </c>
      <c r="Y6" s="15" t="n">
        <v>7431</v>
      </c>
    </row>
    <row r="7" customFormat="false" ht="15" hidden="false" customHeight="false" outlineLevel="0" collapsed="false">
      <c r="A7" s="8" t="s">
        <v>23</v>
      </c>
      <c r="B7" s="0" t="s">
        <v>16</v>
      </c>
      <c r="C7" s="13" t="n">
        <v>20338</v>
      </c>
      <c r="D7" s="14" t="n">
        <v>19143</v>
      </c>
      <c r="E7" s="14" t="n">
        <v>17349</v>
      </c>
      <c r="F7" s="14" t="n">
        <v>17638</v>
      </c>
      <c r="G7" s="14" t="n">
        <v>17152</v>
      </c>
      <c r="H7" s="14" t="n">
        <v>17804</v>
      </c>
      <c r="I7" s="14" t="n">
        <v>17857</v>
      </c>
      <c r="J7" s="14" t="n">
        <v>17168</v>
      </c>
      <c r="K7" s="14" t="n">
        <v>16415</v>
      </c>
      <c r="L7" s="15" t="n">
        <v>16854</v>
      </c>
      <c r="N7" s="8"/>
      <c r="O7" s="12" t="s">
        <v>19</v>
      </c>
      <c r="P7" s="13" t="n">
        <v>5322</v>
      </c>
      <c r="Q7" s="14" t="n">
        <v>4665</v>
      </c>
      <c r="R7" s="14" t="n">
        <v>4504</v>
      </c>
      <c r="S7" s="14" t="n">
        <v>4363</v>
      </c>
      <c r="T7" s="14" t="n">
        <v>3977</v>
      </c>
      <c r="U7" s="14" t="n">
        <v>3683</v>
      </c>
      <c r="V7" s="14" t="n">
        <v>3614</v>
      </c>
      <c r="W7" s="14" t="n">
        <v>3463</v>
      </c>
      <c r="X7" s="14" t="n">
        <v>3566</v>
      </c>
      <c r="Y7" s="15" t="n">
        <v>3449</v>
      </c>
    </row>
    <row r="8" customFormat="false" ht="15" hidden="false" customHeight="false" outlineLevel="0" collapsed="false">
      <c r="A8" s="8"/>
      <c r="B8" s="0" t="s">
        <v>18</v>
      </c>
      <c r="C8" s="13" t="n">
        <v>19</v>
      </c>
      <c r="D8" s="14" t="n">
        <v>17</v>
      </c>
      <c r="E8" s="14" t="n">
        <v>10</v>
      </c>
      <c r="F8" s="14" t="n">
        <v>23</v>
      </c>
      <c r="G8" s="14" t="n">
        <v>31</v>
      </c>
      <c r="H8" s="14" t="n">
        <v>14</v>
      </c>
      <c r="I8" s="14" t="n">
        <v>13</v>
      </c>
      <c r="J8" s="14" t="n">
        <v>20</v>
      </c>
      <c r="K8" s="14" t="n">
        <v>16</v>
      </c>
      <c r="L8" s="15" t="n">
        <v>16</v>
      </c>
      <c r="N8" s="8"/>
      <c r="O8" s="12" t="s">
        <v>21</v>
      </c>
      <c r="P8" s="13" t="n">
        <v>4303</v>
      </c>
      <c r="Q8" s="14" t="n">
        <v>4008</v>
      </c>
      <c r="R8" s="14" t="n">
        <v>3655</v>
      </c>
      <c r="S8" s="14" t="n">
        <v>3593</v>
      </c>
      <c r="T8" s="14" t="n">
        <v>3536</v>
      </c>
      <c r="U8" s="14" t="n">
        <v>3473</v>
      </c>
      <c r="V8" s="14" t="n">
        <v>3597</v>
      </c>
      <c r="W8" s="14" t="n">
        <v>3601</v>
      </c>
      <c r="X8" s="14" t="n">
        <v>3678</v>
      </c>
      <c r="Y8" s="15" t="n">
        <v>3982</v>
      </c>
    </row>
    <row r="9" customFormat="false" ht="15" hidden="false" customHeight="false" outlineLevel="0" collapsed="false">
      <c r="A9" s="8"/>
      <c r="B9" s="0" t="s">
        <v>20</v>
      </c>
      <c r="C9" s="13" t="n">
        <v>15382</v>
      </c>
      <c r="D9" s="14" t="n">
        <v>14662</v>
      </c>
      <c r="E9" s="14" t="n">
        <v>13658</v>
      </c>
      <c r="F9" s="14" t="n">
        <v>13652</v>
      </c>
      <c r="G9" s="14" t="n">
        <v>12810</v>
      </c>
      <c r="H9" s="14" t="n">
        <v>12356</v>
      </c>
      <c r="I9" s="14" t="n">
        <v>12164</v>
      </c>
      <c r="J9" s="14" t="n">
        <v>11814</v>
      </c>
      <c r="K9" s="14" t="n">
        <v>11454</v>
      </c>
      <c r="L9" s="15" t="n">
        <v>11807</v>
      </c>
      <c r="N9" s="8" t="s">
        <v>24</v>
      </c>
      <c r="O9" s="12" t="s">
        <v>17</v>
      </c>
      <c r="P9" s="13" t="n">
        <v>6016</v>
      </c>
      <c r="Q9" s="14" t="n">
        <v>5440</v>
      </c>
      <c r="R9" s="14" t="n">
        <v>5139</v>
      </c>
      <c r="S9" s="14" t="n">
        <v>4934</v>
      </c>
      <c r="T9" s="14" t="n">
        <v>4597</v>
      </c>
      <c r="U9" s="14" t="n">
        <v>4399</v>
      </c>
      <c r="V9" s="14" t="n">
        <v>4392</v>
      </c>
      <c r="W9" s="14" t="n">
        <v>4282</v>
      </c>
      <c r="X9" s="14" t="n">
        <v>4257</v>
      </c>
      <c r="Y9" s="15" t="n">
        <v>4328</v>
      </c>
    </row>
    <row r="10" customFormat="false" ht="15" hidden="false" customHeight="false" outlineLevel="0" collapsed="false">
      <c r="A10" s="8"/>
      <c r="B10" s="0" t="s">
        <v>22</v>
      </c>
      <c r="C10" s="13" t="n">
        <v>4937</v>
      </c>
      <c r="D10" s="14" t="n">
        <v>4464</v>
      </c>
      <c r="E10" s="14" t="n">
        <v>3681</v>
      </c>
      <c r="F10" s="14" t="n">
        <v>3963</v>
      </c>
      <c r="G10" s="14" t="n">
        <v>4311</v>
      </c>
      <c r="H10" s="14" t="n">
        <v>5434</v>
      </c>
      <c r="I10" s="14" t="n">
        <v>5680</v>
      </c>
      <c r="J10" s="14" t="n">
        <v>5334</v>
      </c>
      <c r="K10" s="14" t="n">
        <v>4945</v>
      </c>
      <c r="L10" s="15" t="n">
        <v>5031</v>
      </c>
      <c r="N10" s="8"/>
      <c r="O10" s="12" t="s">
        <v>19</v>
      </c>
      <c r="P10" s="13" t="n">
        <v>4127</v>
      </c>
      <c r="Q10" s="14" t="n">
        <v>3635</v>
      </c>
      <c r="R10" s="14" t="n">
        <v>3516</v>
      </c>
      <c r="S10" s="14" t="n">
        <v>3403</v>
      </c>
      <c r="T10" s="14" t="n">
        <v>3020</v>
      </c>
      <c r="U10" s="14" t="n">
        <v>2882</v>
      </c>
      <c r="V10" s="14" t="n">
        <v>2815</v>
      </c>
      <c r="W10" s="14" t="n">
        <v>2766</v>
      </c>
      <c r="X10" s="14" t="n">
        <v>2715</v>
      </c>
      <c r="Y10" s="15" t="n">
        <v>2638</v>
      </c>
    </row>
    <row r="11" customFormat="false" ht="15" hidden="false" customHeight="false" outlineLevel="0" collapsed="false">
      <c r="A11" s="8" t="s">
        <v>24</v>
      </c>
      <c r="B11" s="0" t="s">
        <v>16</v>
      </c>
      <c r="C11" s="13" t="n">
        <v>13454</v>
      </c>
      <c r="D11" s="14" t="n">
        <v>12604</v>
      </c>
      <c r="E11" s="14" t="n">
        <v>11814</v>
      </c>
      <c r="F11" s="14" t="n">
        <v>11601</v>
      </c>
      <c r="G11" s="14" t="n">
        <v>11585</v>
      </c>
      <c r="H11" s="14" t="n">
        <v>11951</v>
      </c>
      <c r="I11" s="14" t="n">
        <v>12077</v>
      </c>
      <c r="J11" s="14" t="n">
        <v>11576</v>
      </c>
      <c r="K11" s="14" t="n">
        <v>11357</v>
      </c>
      <c r="L11" s="15" t="n">
        <v>11499</v>
      </c>
      <c r="N11" s="8"/>
      <c r="O11" s="12" t="s">
        <v>21</v>
      </c>
      <c r="P11" s="13" t="n">
        <v>1889</v>
      </c>
      <c r="Q11" s="14" t="n">
        <v>1805</v>
      </c>
      <c r="R11" s="14" t="n">
        <v>1623</v>
      </c>
      <c r="S11" s="14" t="n">
        <v>1531</v>
      </c>
      <c r="T11" s="14" t="n">
        <v>1577</v>
      </c>
      <c r="U11" s="14" t="n">
        <v>1517</v>
      </c>
      <c r="V11" s="14" t="n">
        <v>1577</v>
      </c>
      <c r="W11" s="14" t="n">
        <v>1516</v>
      </c>
      <c r="X11" s="14" t="n">
        <v>1542</v>
      </c>
      <c r="Y11" s="15" t="n">
        <v>1690</v>
      </c>
    </row>
    <row r="12" customFormat="false" ht="15" hidden="false" customHeight="false" outlineLevel="0" collapsed="false">
      <c r="A12" s="8"/>
      <c r="B12" s="0" t="s">
        <v>18</v>
      </c>
      <c r="C12" s="13" t="n">
        <v>10</v>
      </c>
      <c r="D12" s="14" t="n">
        <v>10</v>
      </c>
      <c r="E12" s="14" t="n">
        <v>8</v>
      </c>
      <c r="F12" s="14" t="n">
        <v>12</v>
      </c>
      <c r="G12" s="14" t="n">
        <v>8</v>
      </c>
      <c r="H12" s="14" t="n">
        <v>16</v>
      </c>
      <c r="I12" s="14" t="n">
        <v>10</v>
      </c>
      <c r="J12" s="14" t="n">
        <v>7</v>
      </c>
      <c r="K12" s="14" t="n">
        <v>7</v>
      </c>
      <c r="L12" s="15" t="n">
        <v>12</v>
      </c>
      <c r="N12" s="8" t="s">
        <v>25</v>
      </c>
      <c r="O12" s="12" t="s">
        <v>17</v>
      </c>
      <c r="P12" s="13" t="n">
        <v>1875</v>
      </c>
      <c r="Q12" s="14" t="n">
        <v>1783</v>
      </c>
      <c r="R12" s="14" t="n">
        <v>1514</v>
      </c>
      <c r="S12" s="14" t="n">
        <v>1500</v>
      </c>
      <c r="T12" s="14" t="n">
        <v>1398</v>
      </c>
      <c r="U12" s="14" t="n">
        <v>1400</v>
      </c>
      <c r="V12" s="14" t="n">
        <v>1361</v>
      </c>
      <c r="W12" s="14" t="n">
        <v>1362</v>
      </c>
      <c r="X12" s="14" t="n">
        <v>1374</v>
      </c>
      <c r="Y12" s="15" t="n">
        <v>1442</v>
      </c>
    </row>
    <row r="13" customFormat="false" ht="15" hidden="false" customHeight="false" outlineLevel="0" collapsed="false">
      <c r="A13" s="8"/>
      <c r="B13" s="0" t="s">
        <v>20</v>
      </c>
      <c r="C13" s="13" t="n">
        <v>9915</v>
      </c>
      <c r="D13" s="14" t="n">
        <v>9378</v>
      </c>
      <c r="E13" s="14" t="n">
        <v>9046</v>
      </c>
      <c r="F13" s="14" t="n">
        <v>8850</v>
      </c>
      <c r="G13" s="14" t="n">
        <v>8677</v>
      </c>
      <c r="H13" s="14" t="n">
        <v>8153</v>
      </c>
      <c r="I13" s="14" t="n">
        <v>8253</v>
      </c>
      <c r="J13" s="14" t="n">
        <v>7919</v>
      </c>
      <c r="K13" s="14" t="n">
        <v>7809</v>
      </c>
      <c r="L13" s="15" t="n">
        <v>8128</v>
      </c>
      <c r="N13" s="8"/>
      <c r="O13" s="12" t="s">
        <v>19</v>
      </c>
      <c r="P13" s="13" t="n">
        <v>1313</v>
      </c>
      <c r="Q13" s="14" t="n">
        <v>1221</v>
      </c>
      <c r="R13" s="14" t="n">
        <v>1058</v>
      </c>
      <c r="S13" s="14" t="n">
        <v>1072</v>
      </c>
      <c r="T13" s="14" t="n">
        <v>950</v>
      </c>
      <c r="U13" s="14" t="n">
        <v>929</v>
      </c>
      <c r="V13" s="14" t="n">
        <v>874</v>
      </c>
      <c r="W13" s="14" t="n">
        <v>935</v>
      </c>
      <c r="X13" s="14" t="n">
        <v>889</v>
      </c>
      <c r="Y13" s="15" t="n">
        <v>896</v>
      </c>
    </row>
    <row r="14" customFormat="false" ht="15" hidden="false" customHeight="false" outlineLevel="0" collapsed="false">
      <c r="A14" s="8"/>
      <c r="B14" s="0" t="s">
        <v>22</v>
      </c>
      <c r="C14" s="13" t="n">
        <v>3529</v>
      </c>
      <c r="D14" s="14" t="n">
        <v>3216</v>
      </c>
      <c r="E14" s="14" t="n">
        <v>2760</v>
      </c>
      <c r="F14" s="14" t="n">
        <v>2739</v>
      </c>
      <c r="G14" s="14" t="n">
        <v>2900</v>
      </c>
      <c r="H14" s="14" t="n">
        <v>3782</v>
      </c>
      <c r="I14" s="14" t="n">
        <v>3814</v>
      </c>
      <c r="J14" s="14" t="n">
        <v>3650</v>
      </c>
      <c r="K14" s="14" t="n">
        <v>3541</v>
      </c>
      <c r="L14" s="15" t="n">
        <v>3359</v>
      </c>
      <c r="N14" s="8"/>
      <c r="O14" s="12" t="s">
        <v>21</v>
      </c>
      <c r="P14" s="13" t="n">
        <v>562</v>
      </c>
      <c r="Q14" s="14" t="n">
        <v>562</v>
      </c>
      <c r="R14" s="14" t="n">
        <v>456</v>
      </c>
      <c r="S14" s="14" t="n">
        <v>428</v>
      </c>
      <c r="T14" s="14" t="n">
        <v>448</v>
      </c>
      <c r="U14" s="14" t="n">
        <v>471</v>
      </c>
      <c r="V14" s="14" t="n">
        <v>487</v>
      </c>
      <c r="W14" s="14" t="n">
        <v>427</v>
      </c>
      <c r="X14" s="14" t="n">
        <v>485</v>
      </c>
      <c r="Y14" s="15" t="n">
        <v>546</v>
      </c>
    </row>
    <row r="15" customFormat="false" ht="15" hidden="false" customHeight="false" outlineLevel="0" collapsed="false">
      <c r="A15" s="8" t="s">
        <v>25</v>
      </c>
      <c r="B15" s="0" t="s">
        <v>16</v>
      </c>
      <c r="C15" s="13" t="n">
        <v>6148</v>
      </c>
      <c r="D15" s="14" t="n">
        <v>5913</v>
      </c>
      <c r="E15" s="14" t="n">
        <v>5351</v>
      </c>
      <c r="F15" s="14" t="n">
        <v>5233</v>
      </c>
      <c r="G15" s="14" t="n">
        <v>5256</v>
      </c>
      <c r="H15" s="14" t="n">
        <v>5480</v>
      </c>
      <c r="I15" s="14" t="n">
        <v>5568</v>
      </c>
      <c r="J15" s="14" t="n">
        <v>5159</v>
      </c>
      <c r="K15" s="14" t="n">
        <v>4891</v>
      </c>
      <c r="L15" s="15" t="n">
        <v>5040</v>
      </c>
      <c r="N15" s="8" t="s">
        <v>26</v>
      </c>
      <c r="O15" s="12" t="s">
        <v>17</v>
      </c>
      <c r="P15" s="13" t="n">
        <v>502</v>
      </c>
      <c r="Q15" s="14" t="n">
        <v>414</v>
      </c>
      <c r="R15" s="14" t="n">
        <v>400</v>
      </c>
      <c r="S15" s="14" t="n">
        <v>355</v>
      </c>
      <c r="T15" s="14" t="n">
        <v>370</v>
      </c>
      <c r="U15" s="14" t="n">
        <v>347</v>
      </c>
      <c r="V15" s="14" t="n">
        <v>318</v>
      </c>
      <c r="W15" s="14" t="n">
        <v>332</v>
      </c>
      <c r="X15" s="14" t="n">
        <v>332</v>
      </c>
      <c r="Y15" s="15" t="n">
        <v>318</v>
      </c>
    </row>
    <row r="16" customFormat="false" ht="15" hidden="false" customHeight="false" outlineLevel="0" collapsed="false">
      <c r="A16" s="8"/>
      <c r="B16" s="0" t="s">
        <v>18</v>
      </c>
      <c r="C16" s="13" t="n">
        <v>10</v>
      </c>
      <c r="D16" s="14" t="n">
        <v>7</v>
      </c>
      <c r="E16" s="14" t="n">
        <v>0</v>
      </c>
      <c r="F16" s="14" t="n">
        <v>8</v>
      </c>
      <c r="G16" s="14" t="n">
        <v>5</v>
      </c>
      <c r="H16" s="14" t="n">
        <v>6</v>
      </c>
      <c r="I16" s="14" t="n">
        <v>5</v>
      </c>
      <c r="J16" s="14" t="n">
        <v>1</v>
      </c>
      <c r="K16" s="14" t="n">
        <v>3</v>
      </c>
      <c r="L16" s="15" t="n">
        <v>5</v>
      </c>
      <c r="N16" s="8"/>
      <c r="O16" s="12" t="s">
        <v>19</v>
      </c>
      <c r="P16" s="13" t="n">
        <v>390</v>
      </c>
      <c r="Q16" s="14" t="n">
        <v>346</v>
      </c>
      <c r="R16" s="14" t="n">
        <v>323</v>
      </c>
      <c r="S16" s="14" t="n">
        <v>278</v>
      </c>
      <c r="T16" s="14" t="n">
        <v>303</v>
      </c>
      <c r="U16" s="14" t="n">
        <v>269</v>
      </c>
      <c r="V16" s="14" t="n">
        <v>245</v>
      </c>
      <c r="W16" s="14" t="n">
        <v>257</v>
      </c>
      <c r="X16" s="14" t="n">
        <v>264</v>
      </c>
      <c r="Y16" s="15" t="n">
        <v>258</v>
      </c>
    </row>
    <row r="17" customFormat="false" ht="15" hidden="false" customHeight="false" outlineLevel="0" collapsed="false">
      <c r="A17" s="8"/>
      <c r="B17" s="0" t="s">
        <v>20</v>
      </c>
      <c r="C17" s="13" t="n">
        <v>4689</v>
      </c>
      <c r="D17" s="14" t="n">
        <v>4577</v>
      </c>
      <c r="E17" s="14" t="n">
        <v>4175</v>
      </c>
      <c r="F17" s="14" t="n">
        <v>4126</v>
      </c>
      <c r="G17" s="14" t="n">
        <v>3905</v>
      </c>
      <c r="H17" s="14" t="n">
        <v>3716</v>
      </c>
      <c r="I17" s="14" t="n">
        <v>3790</v>
      </c>
      <c r="J17" s="14" t="n">
        <v>3478</v>
      </c>
      <c r="K17" s="14" t="n">
        <v>3371</v>
      </c>
      <c r="L17" s="15" t="n">
        <v>3517</v>
      </c>
      <c r="N17" s="16"/>
      <c r="O17" s="17" t="s">
        <v>21</v>
      </c>
      <c r="P17" s="18" t="n">
        <v>112</v>
      </c>
      <c r="Q17" s="19" t="n">
        <v>68</v>
      </c>
      <c r="R17" s="19" t="n">
        <v>77</v>
      </c>
      <c r="S17" s="19" t="n">
        <v>77</v>
      </c>
      <c r="T17" s="19" t="n">
        <v>67</v>
      </c>
      <c r="U17" s="19" t="n">
        <v>78</v>
      </c>
      <c r="V17" s="19" t="n">
        <v>73</v>
      </c>
      <c r="W17" s="19" t="n">
        <v>75</v>
      </c>
      <c r="X17" s="19" t="n">
        <v>68</v>
      </c>
      <c r="Y17" s="20" t="n">
        <v>60</v>
      </c>
    </row>
    <row r="18" customFormat="false" ht="15" hidden="false" customHeight="false" outlineLevel="0" collapsed="false">
      <c r="A18" s="8"/>
      <c r="B18" s="0" t="s">
        <v>22</v>
      </c>
      <c r="C18" s="13" t="n">
        <v>1449</v>
      </c>
      <c r="D18" s="14" t="n">
        <v>1329</v>
      </c>
      <c r="E18" s="14" t="n">
        <v>1176</v>
      </c>
      <c r="F18" s="14" t="n">
        <v>1099</v>
      </c>
      <c r="G18" s="14" t="n">
        <v>1346</v>
      </c>
      <c r="H18" s="14" t="n">
        <v>1758</v>
      </c>
      <c r="I18" s="14" t="n">
        <v>1773</v>
      </c>
      <c r="J18" s="14" t="n">
        <v>1680</v>
      </c>
      <c r="K18" s="14" t="n">
        <v>1517</v>
      </c>
      <c r="L18" s="15" t="n">
        <v>1518</v>
      </c>
    </row>
    <row r="19" customFormat="false" ht="15" hidden="false" customHeight="false" outlineLevel="0" collapsed="false">
      <c r="A19" s="8" t="s">
        <v>26</v>
      </c>
      <c r="B19" s="0" t="s">
        <v>16</v>
      </c>
      <c r="C19" s="13" t="n">
        <v>1592</v>
      </c>
      <c r="D19" s="14" t="n">
        <v>1503</v>
      </c>
      <c r="E19" s="14" t="n">
        <v>1386</v>
      </c>
      <c r="F19" s="14" t="n">
        <v>1292</v>
      </c>
      <c r="G19" s="14" t="n">
        <v>1387</v>
      </c>
      <c r="H19" s="14" t="n">
        <v>1389</v>
      </c>
      <c r="I19" s="14" t="n">
        <v>1373</v>
      </c>
      <c r="J19" s="14" t="n">
        <v>1358</v>
      </c>
      <c r="K19" s="14" t="n">
        <v>1274</v>
      </c>
      <c r="L19" s="15" t="n">
        <v>1373</v>
      </c>
    </row>
    <row r="20" customFormat="false" ht="15" hidden="false" customHeight="false" outlineLevel="0" collapsed="false">
      <c r="A20" s="8"/>
      <c r="B20" s="0" t="s">
        <v>18</v>
      </c>
      <c r="C20" s="13" t="n">
        <v>2</v>
      </c>
      <c r="D20" s="14" t="n">
        <v>3</v>
      </c>
      <c r="E20" s="14" t="n">
        <v>1</v>
      </c>
      <c r="F20" s="14" t="n">
        <v>2</v>
      </c>
      <c r="G20" s="14" t="n">
        <v>2</v>
      </c>
      <c r="H20" s="14" t="n">
        <v>0</v>
      </c>
      <c r="I20" s="14" t="n">
        <v>1</v>
      </c>
      <c r="J20" s="14" t="n">
        <v>0</v>
      </c>
      <c r="K20" s="14" t="n">
        <v>3</v>
      </c>
      <c r="L20" s="15" t="n">
        <v>1</v>
      </c>
    </row>
    <row r="21" customFormat="false" ht="15" hidden="false" customHeight="false" outlineLevel="0" collapsed="false">
      <c r="A21" s="8"/>
      <c r="B21" s="0" t="s">
        <v>20</v>
      </c>
      <c r="C21" s="13" t="n">
        <v>1160</v>
      </c>
      <c r="D21" s="14" t="n">
        <v>1118</v>
      </c>
      <c r="E21" s="14" t="n">
        <v>1035</v>
      </c>
      <c r="F21" s="14" t="n">
        <v>1017</v>
      </c>
      <c r="G21" s="14" t="n">
        <v>1004</v>
      </c>
      <c r="H21" s="14" t="n">
        <v>973</v>
      </c>
      <c r="I21" s="14" t="n">
        <v>914</v>
      </c>
      <c r="J21" s="14" t="n">
        <v>915</v>
      </c>
      <c r="K21" s="14" t="n">
        <v>869</v>
      </c>
      <c r="L21" s="15" t="n">
        <v>915</v>
      </c>
    </row>
    <row r="22" customFormat="false" ht="15" hidden="false" customHeight="false" outlineLevel="0" collapsed="false">
      <c r="A22" s="16"/>
      <c r="B22" s="21" t="s">
        <v>22</v>
      </c>
      <c r="C22" s="18" t="n">
        <v>430</v>
      </c>
      <c r="D22" s="19" t="n">
        <v>382</v>
      </c>
      <c r="E22" s="19" t="n">
        <v>350</v>
      </c>
      <c r="F22" s="19" t="n">
        <v>273</v>
      </c>
      <c r="G22" s="19" t="n">
        <v>381</v>
      </c>
      <c r="H22" s="19" t="n">
        <v>416</v>
      </c>
      <c r="I22" s="19" t="n">
        <v>458</v>
      </c>
      <c r="J22" s="19" t="n">
        <v>443</v>
      </c>
      <c r="K22" s="19" t="n">
        <v>402</v>
      </c>
      <c r="L22" s="20" t="n">
        <v>457</v>
      </c>
    </row>
    <row r="24" customFormat="false" ht="15" hidden="false" customHeight="false" outlineLevel="0" collapsed="false">
      <c r="A24" s="1" t="s">
        <v>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N24" s="1" t="s">
        <v>28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customFormat="false" ht="15" hidden="false" customHeight="false" outlineLevel="0" collapsed="false">
      <c r="A25" s="2" t="s">
        <v>2</v>
      </c>
      <c r="B25" s="3" t="s">
        <v>29</v>
      </c>
      <c r="C25" s="2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11</v>
      </c>
      <c r="K25" s="7" t="s">
        <v>12</v>
      </c>
      <c r="L25" s="3" t="s">
        <v>13</v>
      </c>
      <c r="N25" s="2" t="s">
        <v>2</v>
      </c>
      <c r="O25" s="3" t="s">
        <v>3</v>
      </c>
      <c r="P25" s="2" t="s">
        <v>4</v>
      </c>
      <c r="Q25" s="7" t="s">
        <v>5</v>
      </c>
      <c r="R25" s="7" t="s">
        <v>6</v>
      </c>
      <c r="S25" s="7" t="s">
        <v>7</v>
      </c>
      <c r="T25" s="7" t="s">
        <v>8</v>
      </c>
      <c r="U25" s="7" t="s">
        <v>9</v>
      </c>
      <c r="V25" s="7" t="s">
        <v>10</v>
      </c>
      <c r="W25" s="7" t="s">
        <v>11</v>
      </c>
      <c r="X25" s="7" t="s">
        <v>12</v>
      </c>
      <c r="Y25" s="3" t="s">
        <v>13</v>
      </c>
    </row>
    <row r="26" customFormat="false" ht="15" hidden="false" customHeight="false" outlineLevel="0" collapsed="false">
      <c r="A26" s="4" t="s">
        <v>15</v>
      </c>
      <c r="B26" s="6" t="s">
        <v>16</v>
      </c>
      <c r="C26" s="4" t="n">
        <v>3954</v>
      </c>
      <c r="D26" s="5" t="n">
        <v>4163</v>
      </c>
      <c r="E26" s="5" t="n">
        <v>4378</v>
      </c>
      <c r="F26" s="5" t="n">
        <v>4782</v>
      </c>
      <c r="G26" s="5" t="n">
        <v>4863</v>
      </c>
      <c r="H26" s="5" t="n">
        <v>4835</v>
      </c>
      <c r="I26" s="5" t="n">
        <v>4676</v>
      </c>
      <c r="J26" s="5" t="n">
        <v>4701</v>
      </c>
      <c r="K26" s="5" t="n">
        <v>4866</v>
      </c>
      <c r="L26" s="6" t="n">
        <v>4750</v>
      </c>
      <c r="N26" s="8" t="s">
        <v>15</v>
      </c>
      <c r="O26" s="12" t="s">
        <v>16</v>
      </c>
      <c r="P26" s="4" t="n">
        <v>39385</v>
      </c>
      <c r="Q26" s="5" t="n">
        <v>37717</v>
      </c>
      <c r="R26" s="5" t="n">
        <v>36884</v>
      </c>
      <c r="S26" s="5" t="n">
        <v>36340</v>
      </c>
      <c r="T26" s="5" t="n">
        <v>35014</v>
      </c>
      <c r="U26" s="5" t="n">
        <v>32354</v>
      </c>
      <c r="V26" s="5" t="n">
        <v>30809</v>
      </c>
      <c r="W26" s="5" t="n">
        <v>29685</v>
      </c>
      <c r="X26" s="5" t="n">
        <v>29494</v>
      </c>
      <c r="Y26" s="6" t="n">
        <v>28537</v>
      </c>
    </row>
    <row r="27" customFormat="false" ht="15" hidden="false" customHeight="false" outlineLevel="0" collapsed="false">
      <c r="A27" s="8"/>
      <c r="B27" s="12" t="s">
        <v>18</v>
      </c>
      <c r="C27" s="8" t="n">
        <v>1</v>
      </c>
      <c r="D27" s="0" t="n">
        <v>1</v>
      </c>
      <c r="E27" s="0" t="n">
        <v>2</v>
      </c>
      <c r="F27" s="0" t="n">
        <v>1</v>
      </c>
      <c r="G27" s="0" t="n">
        <v>1</v>
      </c>
      <c r="H27" s="0" t="n">
        <v>2</v>
      </c>
      <c r="I27" s="0" t="n">
        <v>0</v>
      </c>
      <c r="J27" s="0" t="n">
        <v>4</v>
      </c>
      <c r="K27" s="0" t="n">
        <v>9</v>
      </c>
      <c r="L27" s="12" t="n">
        <v>10</v>
      </c>
      <c r="N27" s="8"/>
      <c r="O27" s="12" t="s">
        <v>18</v>
      </c>
      <c r="P27" s="8" t="n">
        <v>20</v>
      </c>
      <c r="Q27" s="0" t="n">
        <v>15</v>
      </c>
      <c r="R27" s="0" t="n">
        <v>15</v>
      </c>
      <c r="S27" s="0" t="n">
        <v>27</v>
      </c>
      <c r="T27" s="0" t="n">
        <v>19</v>
      </c>
      <c r="U27" s="0" t="n">
        <v>31</v>
      </c>
      <c r="V27" s="0" t="n">
        <v>32</v>
      </c>
      <c r="W27" s="0" t="n">
        <v>24</v>
      </c>
      <c r="X27" s="0" t="n">
        <v>49</v>
      </c>
      <c r="Y27" s="12" t="n">
        <v>55</v>
      </c>
    </row>
    <row r="28" customFormat="false" ht="15" hidden="false" customHeight="false" outlineLevel="0" collapsed="false">
      <c r="A28" s="8"/>
      <c r="B28" s="12" t="s">
        <v>20</v>
      </c>
      <c r="C28" s="8" t="n">
        <v>1546</v>
      </c>
      <c r="D28" s="0" t="n">
        <v>1590</v>
      </c>
      <c r="E28" s="0" t="n">
        <v>1587</v>
      </c>
      <c r="F28" s="0" t="n">
        <v>1734</v>
      </c>
      <c r="G28" s="0" t="n">
        <v>1767</v>
      </c>
      <c r="H28" s="0" t="n">
        <v>1862</v>
      </c>
      <c r="I28" s="0" t="n">
        <v>1783</v>
      </c>
      <c r="J28" s="0" t="n">
        <v>1718</v>
      </c>
      <c r="K28" s="0" t="n">
        <v>1848</v>
      </c>
      <c r="L28" s="12" t="n">
        <v>1928</v>
      </c>
      <c r="N28" s="8"/>
      <c r="O28" s="12" t="s">
        <v>20</v>
      </c>
      <c r="P28" s="8" t="n">
        <v>26030</v>
      </c>
      <c r="Q28" s="0" t="n">
        <v>23850</v>
      </c>
      <c r="R28" s="0" t="n">
        <v>22750</v>
      </c>
      <c r="S28" s="0" t="n">
        <v>22012</v>
      </c>
      <c r="T28" s="0" t="n">
        <v>21151</v>
      </c>
      <c r="U28" s="0" t="n">
        <v>19945</v>
      </c>
      <c r="V28" s="0" t="n">
        <v>19615</v>
      </c>
      <c r="W28" s="0" t="n">
        <v>18972</v>
      </c>
      <c r="X28" s="0" t="n">
        <v>19268</v>
      </c>
      <c r="Y28" s="12" t="n">
        <v>19133</v>
      </c>
    </row>
    <row r="29" customFormat="false" ht="15" hidden="false" customHeight="false" outlineLevel="0" collapsed="false">
      <c r="A29" s="8"/>
      <c r="B29" s="12" t="s">
        <v>22</v>
      </c>
      <c r="C29" s="8" t="n">
        <v>2407</v>
      </c>
      <c r="D29" s="0" t="n">
        <v>2572</v>
      </c>
      <c r="E29" s="0" t="n">
        <v>2789</v>
      </c>
      <c r="F29" s="0" t="n">
        <v>3047</v>
      </c>
      <c r="G29" s="0" t="n">
        <v>3095</v>
      </c>
      <c r="H29" s="0" t="n">
        <v>2971</v>
      </c>
      <c r="I29" s="0" t="n">
        <v>2893</v>
      </c>
      <c r="J29" s="0" t="n">
        <v>2979</v>
      </c>
      <c r="K29" s="0" t="n">
        <v>3009</v>
      </c>
      <c r="L29" s="12" t="n">
        <v>2812</v>
      </c>
      <c r="N29" s="8"/>
      <c r="O29" s="12" t="s">
        <v>22</v>
      </c>
      <c r="P29" s="8" t="n">
        <v>13335</v>
      </c>
      <c r="Q29" s="0" t="n">
        <v>13852</v>
      </c>
      <c r="R29" s="0" t="n">
        <v>14119</v>
      </c>
      <c r="S29" s="0" t="n">
        <v>14301</v>
      </c>
      <c r="T29" s="0" t="n">
        <v>13844</v>
      </c>
      <c r="U29" s="0" t="n">
        <v>12378</v>
      </c>
      <c r="V29" s="0" t="n">
        <v>11162</v>
      </c>
      <c r="W29" s="0" t="n">
        <v>10689</v>
      </c>
      <c r="X29" s="0" t="n">
        <v>10177</v>
      </c>
      <c r="Y29" s="12" t="n">
        <v>9349</v>
      </c>
    </row>
    <row r="30" customFormat="false" ht="15" hidden="false" customHeight="false" outlineLevel="0" collapsed="false">
      <c r="A30" s="8" t="s">
        <v>23</v>
      </c>
      <c r="B30" s="12" t="s">
        <v>16</v>
      </c>
      <c r="C30" s="8" t="n">
        <v>2138</v>
      </c>
      <c r="D30" s="0" t="n">
        <v>2246</v>
      </c>
      <c r="E30" s="0" t="n">
        <v>2279</v>
      </c>
      <c r="F30" s="0" t="n">
        <v>2497</v>
      </c>
      <c r="G30" s="0" t="n">
        <v>2521</v>
      </c>
      <c r="H30" s="0" t="n">
        <v>2452</v>
      </c>
      <c r="I30" s="0" t="n">
        <v>2423</v>
      </c>
      <c r="J30" s="0" t="n">
        <v>2462</v>
      </c>
      <c r="K30" s="0" t="n">
        <v>2508</v>
      </c>
      <c r="L30" s="12" t="n">
        <v>2469</v>
      </c>
      <c r="N30" s="8" t="s">
        <v>23</v>
      </c>
      <c r="O30" s="12" t="s">
        <v>16</v>
      </c>
      <c r="P30" s="8" t="n">
        <v>19012</v>
      </c>
      <c r="Q30" s="0" t="n">
        <v>18174</v>
      </c>
      <c r="R30" s="0" t="n">
        <v>17809</v>
      </c>
      <c r="S30" s="0" t="n">
        <v>17564</v>
      </c>
      <c r="T30" s="0" t="n">
        <v>16886</v>
      </c>
      <c r="U30" s="0" t="n">
        <v>15506</v>
      </c>
      <c r="V30" s="0" t="n">
        <v>14761</v>
      </c>
      <c r="W30" s="0" t="n">
        <v>14117</v>
      </c>
      <c r="X30" s="0" t="n">
        <v>14109</v>
      </c>
      <c r="Y30" s="12" t="n">
        <v>13738</v>
      </c>
    </row>
    <row r="31" customFormat="false" ht="15" hidden="false" customHeight="false" outlineLevel="0" collapsed="false">
      <c r="A31" s="8"/>
      <c r="B31" s="12" t="s">
        <v>18</v>
      </c>
      <c r="C31" s="8" t="n">
        <v>1</v>
      </c>
      <c r="D31" s="0" t="n">
        <v>1</v>
      </c>
      <c r="E31" s="0" t="n">
        <v>2</v>
      </c>
      <c r="F31" s="0" t="n">
        <v>1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5</v>
      </c>
      <c r="L31" s="12" t="n">
        <v>4</v>
      </c>
      <c r="N31" s="8"/>
      <c r="O31" s="12" t="s">
        <v>18</v>
      </c>
      <c r="P31" s="8" t="n">
        <v>8</v>
      </c>
      <c r="Q31" s="0" t="n">
        <v>8</v>
      </c>
      <c r="R31" s="0" t="n">
        <v>8</v>
      </c>
      <c r="S31" s="0" t="n">
        <v>17</v>
      </c>
      <c r="T31" s="0" t="n">
        <v>10</v>
      </c>
      <c r="U31" s="0" t="n">
        <v>14</v>
      </c>
      <c r="V31" s="0" t="n">
        <v>17</v>
      </c>
      <c r="W31" s="0" t="n">
        <v>10</v>
      </c>
      <c r="X31" s="0" t="n">
        <v>28</v>
      </c>
      <c r="Y31" s="12" t="n">
        <v>20</v>
      </c>
    </row>
    <row r="32" customFormat="false" ht="15" hidden="false" customHeight="false" outlineLevel="0" collapsed="false">
      <c r="A32" s="8"/>
      <c r="B32" s="12" t="s">
        <v>20</v>
      </c>
      <c r="C32" s="8" t="n">
        <v>874</v>
      </c>
      <c r="D32" s="0" t="n">
        <v>902</v>
      </c>
      <c r="E32" s="0" t="n">
        <v>836</v>
      </c>
      <c r="F32" s="0" t="n">
        <v>929</v>
      </c>
      <c r="G32" s="0" t="n">
        <v>954</v>
      </c>
      <c r="H32" s="0" t="n">
        <v>988</v>
      </c>
      <c r="I32" s="0" t="n">
        <v>962</v>
      </c>
      <c r="J32" s="0" t="n">
        <v>909</v>
      </c>
      <c r="K32" s="0" t="n">
        <v>1010</v>
      </c>
      <c r="L32" s="12" t="n">
        <v>1019</v>
      </c>
      <c r="N32" s="8"/>
      <c r="O32" s="12" t="s">
        <v>20</v>
      </c>
      <c r="P32" s="8" t="n">
        <v>12252</v>
      </c>
      <c r="Q32" s="0" t="n">
        <v>11181</v>
      </c>
      <c r="R32" s="0" t="n">
        <v>10682</v>
      </c>
      <c r="S32" s="0" t="n">
        <v>10318</v>
      </c>
      <c r="T32" s="0" t="n">
        <v>9962</v>
      </c>
      <c r="U32" s="0" t="n">
        <v>9339</v>
      </c>
      <c r="V32" s="0" t="n">
        <v>9198</v>
      </c>
      <c r="W32" s="0" t="n">
        <v>8804</v>
      </c>
      <c r="X32" s="0" t="n">
        <v>9093</v>
      </c>
      <c r="Y32" s="12" t="n">
        <v>8999</v>
      </c>
    </row>
    <row r="33" customFormat="false" ht="15" hidden="false" customHeight="false" outlineLevel="0" collapsed="false">
      <c r="A33" s="8"/>
      <c r="B33" s="12" t="s">
        <v>22</v>
      </c>
      <c r="C33" s="8" t="n">
        <v>1263</v>
      </c>
      <c r="D33" s="0" t="n">
        <v>1343</v>
      </c>
      <c r="E33" s="0" t="n">
        <v>1441</v>
      </c>
      <c r="F33" s="0" t="n">
        <v>1567</v>
      </c>
      <c r="G33" s="0" t="n">
        <v>1567</v>
      </c>
      <c r="H33" s="0" t="n">
        <v>1463</v>
      </c>
      <c r="I33" s="0" t="n">
        <v>1461</v>
      </c>
      <c r="J33" s="0" t="n">
        <v>1553</v>
      </c>
      <c r="K33" s="0" t="n">
        <v>1493</v>
      </c>
      <c r="L33" s="12" t="n">
        <v>1446</v>
      </c>
      <c r="N33" s="8"/>
      <c r="O33" s="12" t="s">
        <v>22</v>
      </c>
      <c r="P33" s="8" t="n">
        <v>6752</v>
      </c>
      <c r="Q33" s="0" t="n">
        <v>6985</v>
      </c>
      <c r="R33" s="0" t="n">
        <v>7119</v>
      </c>
      <c r="S33" s="0" t="n">
        <v>7229</v>
      </c>
      <c r="T33" s="0" t="n">
        <v>6914</v>
      </c>
      <c r="U33" s="0" t="n">
        <v>6153</v>
      </c>
      <c r="V33" s="0" t="n">
        <v>5546</v>
      </c>
      <c r="W33" s="0" t="n">
        <v>5303</v>
      </c>
      <c r="X33" s="0" t="n">
        <v>4988</v>
      </c>
      <c r="Y33" s="12" t="n">
        <v>4719</v>
      </c>
    </row>
    <row r="34" customFormat="false" ht="15" hidden="false" customHeight="false" outlineLevel="0" collapsed="false">
      <c r="A34" s="8" t="s">
        <v>24</v>
      </c>
      <c r="B34" s="12" t="s">
        <v>16</v>
      </c>
      <c r="C34" s="8" t="n">
        <v>1064</v>
      </c>
      <c r="D34" s="0" t="n">
        <v>1156</v>
      </c>
      <c r="E34" s="0" t="n">
        <v>1273</v>
      </c>
      <c r="F34" s="0" t="n">
        <v>1395</v>
      </c>
      <c r="G34" s="0" t="n">
        <v>1429</v>
      </c>
      <c r="H34" s="0" t="n">
        <v>1447</v>
      </c>
      <c r="I34" s="0" t="n">
        <v>1393</v>
      </c>
      <c r="J34" s="0" t="n">
        <v>1386</v>
      </c>
      <c r="K34" s="0" t="n">
        <v>1433</v>
      </c>
      <c r="L34" s="12" t="n">
        <v>1362</v>
      </c>
      <c r="N34" s="8" t="s">
        <v>24</v>
      </c>
      <c r="O34" s="12" t="s">
        <v>16</v>
      </c>
      <c r="P34" s="8" t="n">
        <v>12934</v>
      </c>
      <c r="Q34" s="0" t="n">
        <v>12379</v>
      </c>
      <c r="R34" s="0" t="n">
        <v>12202</v>
      </c>
      <c r="S34" s="0" t="n">
        <v>12175</v>
      </c>
      <c r="T34" s="0" t="n">
        <v>11557</v>
      </c>
      <c r="U34" s="0" t="n">
        <v>10963</v>
      </c>
      <c r="V34" s="0" t="n">
        <v>10400</v>
      </c>
      <c r="W34" s="0" t="n">
        <v>10078</v>
      </c>
      <c r="X34" s="0" t="n">
        <v>10001</v>
      </c>
      <c r="Y34" s="12" t="n">
        <v>9457</v>
      </c>
    </row>
    <row r="35" customFormat="false" ht="15" hidden="false" customHeight="false" outlineLevel="0" collapsed="false">
      <c r="A35" s="8"/>
      <c r="B35" s="12" t="s">
        <v>18</v>
      </c>
      <c r="C35" s="8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v>1</v>
      </c>
      <c r="I35" s="0" t="n">
        <v>0</v>
      </c>
      <c r="J35" s="0" t="n">
        <v>3</v>
      </c>
      <c r="K35" s="0" t="n">
        <v>3</v>
      </c>
      <c r="L35" s="12" t="n">
        <v>2</v>
      </c>
      <c r="N35" s="8"/>
      <c r="O35" s="12" t="s">
        <v>18</v>
      </c>
      <c r="P35" s="8" t="n">
        <v>7</v>
      </c>
      <c r="Q35" s="0" t="n">
        <v>2</v>
      </c>
      <c r="R35" s="0" t="n">
        <v>4</v>
      </c>
      <c r="S35" s="0" t="n">
        <v>3</v>
      </c>
      <c r="T35" s="0" t="n">
        <v>5</v>
      </c>
      <c r="U35" s="0" t="n">
        <v>10</v>
      </c>
      <c r="V35" s="0" t="n">
        <v>7</v>
      </c>
      <c r="W35" s="0" t="n">
        <v>12</v>
      </c>
      <c r="X35" s="0" t="n">
        <v>13</v>
      </c>
      <c r="Y35" s="12" t="n">
        <v>19</v>
      </c>
    </row>
    <row r="36" customFormat="false" ht="15" hidden="false" customHeight="false" outlineLevel="0" collapsed="false">
      <c r="A36" s="8"/>
      <c r="B36" s="12" t="s">
        <v>20</v>
      </c>
      <c r="C36" s="8" t="n">
        <v>368</v>
      </c>
      <c r="D36" s="0" t="n">
        <v>402</v>
      </c>
      <c r="E36" s="0" t="n">
        <v>439</v>
      </c>
      <c r="F36" s="0" t="n">
        <v>472</v>
      </c>
      <c r="G36" s="0" t="n">
        <v>486</v>
      </c>
      <c r="H36" s="0" t="n">
        <v>506</v>
      </c>
      <c r="I36" s="0" t="n">
        <v>496</v>
      </c>
      <c r="J36" s="0" t="n">
        <v>505</v>
      </c>
      <c r="K36" s="0" t="n">
        <v>498</v>
      </c>
      <c r="L36" s="12" t="n">
        <v>523</v>
      </c>
      <c r="N36" s="8"/>
      <c r="O36" s="12" t="s">
        <v>20</v>
      </c>
      <c r="P36" s="8" t="n">
        <v>8846</v>
      </c>
      <c r="Q36" s="0" t="n">
        <v>8043</v>
      </c>
      <c r="R36" s="0" t="n">
        <v>7862</v>
      </c>
      <c r="S36" s="0" t="n">
        <v>7686</v>
      </c>
      <c r="T36" s="0" t="n">
        <v>7191</v>
      </c>
      <c r="U36" s="0" t="n">
        <v>7015</v>
      </c>
      <c r="V36" s="0" t="n">
        <v>6857</v>
      </c>
      <c r="W36" s="0" t="n">
        <v>6700</v>
      </c>
      <c r="X36" s="0" t="n">
        <v>6679</v>
      </c>
      <c r="Y36" s="12" t="n">
        <v>6523</v>
      </c>
    </row>
    <row r="37" customFormat="false" ht="15" hidden="false" customHeight="false" outlineLevel="0" collapsed="false">
      <c r="A37" s="8"/>
      <c r="B37" s="12" t="s">
        <v>22</v>
      </c>
      <c r="C37" s="8" t="n">
        <v>696</v>
      </c>
      <c r="D37" s="0" t="n">
        <v>754</v>
      </c>
      <c r="E37" s="0" t="n">
        <v>834</v>
      </c>
      <c r="F37" s="0" t="n">
        <v>923</v>
      </c>
      <c r="G37" s="0" t="n">
        <v>942</v>
      </c>
      <c r="H37" s="0" t="n">
        <v>940</v>
      </c>
      <c r="I37" s="0" t="n">
        <v>897</v>
      </c>
      <c r="J37" s="0" t="n">
        <v>878</v>
      </c>
      <c r="K37" s="0" t="n">
        <v>932</v>
      </c>
      <c r="L37" s="12" t="n">
        <v>837</v>
      </c>
      <c r="N37" s="8"/>
      <c r="O37" s="12" t="s">
        <v>22</v>
      </c>
      <c r="P37" s="8" t="n">
        <v>4081</v>
      </c>
      <c r="Q37" s="0" t="n">
        <v>4334</v>
      </c>
      <c r="R37" s="0" t="n">
        <v>4336</v>
      </c>
      <c r="S37" s="0" t="n">
        <v>4486</v>
      </c>
      <c r="T37" s="0" t="n">
        <v>4361</v>
      </c>
      <c r="U37" s="0" t="n">
        <v>3938</v>
      </c>
      <c r="V37" s="0" t="n">
        <v>3536</v>
      </c>
      <c r="W37" s="0" t="n">
        <v>3366</v>
      </c>
      <c r="X37" s="0" t="n">
        <v>3309</v>
      </c>
      <c r="Y37" s="12" t="n">
        <v>2915</v>
      </c>
    </row>
    <row r="38" customFormat="false" ht="15" hidden="false" customHeight="false" outlineLevel="0" collapsed="false">
      <c r="A38" s="8" t="s">
        <v>25</v>
      </c>
      <c r="B38" s="12" t="s">
        <v>16</v>
      </c>
      <c r="C38" s="8" t="n">
        <v>652</v>
      </c>
      <c r="D38" s="0" t="n">
        <v>659</v>
      </c>
      <c r="E38" s="0" t="n">
        <v>727</v>
      </c>
      <c r="F38" s="0" t="n">
        <v>750</v>
      </c>
      <c r="G38" s="0" t="n">
        <v>777</v>
      </c>
      <c r="H38" s="0" t="n">
        <v>789</v>
      </c>
      <c r="I38" s="0" t="n">
        <v>727</v>
      </c>
      <c r="J38" s="0" t="n">
        <v>727</v>
      </c>
      <c r="K38" s="0" t="n">
        <v>782</v>
      </c>
      <c r="L38" s="12" t="n">
        <v>749</v>
      </c>
      <c r="N38" s="8" t="s">
        <v>25</v>
      </c>
      <c r="O38" s="12" t="s">
        <v>16</v>
      </c>
      <c r="P38" s="8" t="n">
        <v>5850</v>
      </c>
      <c r="Q38" s="0" t="n">
        <v>5684</v>
      </c>
      <c r="R38" s="0" t="n">
        <v>5425</v>
      </c>
      <c r="S38" s="0" t="n">
        <v>5242</v>
      </c>
      <c r="T38" s="0" t="n">
        <v>5106</v>
      </c>
      <c r="U38" s="0" t="n">
        <v>4630</v>
      </c>
      <c r="V38" s="0" t="n">
        <v>4401</v>
      </c>
      <c r="W38" s="0" t="n">
        <v>4250</v>
      </c>
      <c r="X38" s="0" t="n">
        <v>4191</v>
      </c>
      <c r="Y38" s="12" t="n">
        <v>4175</v>
      </c>
    </row>
    <row r="39" customFormat="false" ht="15" hidden="false" customHeight="false" outlineLevel="0" collapsed="false">
      <c r="A39" s="8"/>
      <c r="B39" s="12" t="s">
        <v>18</v>
      </c>
      <c r="C39" s="8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</v>
      </c>
      <c r="K39" s="0" t="n">
        <v>1</v>
      </c>
      <c r="L39" s="12" t="n">
        <v>3</v>
      </c>
      <c r="N39" s="8"/>
      <c r="O39" s="12" t="s">
        <v>18</v>
      </c>
      <c r="P39" s="8" t="n">
        <v>2</v>
      </c>
      <c r="Q39" s="0" t="n">
        <v>4</v>
      </c>
      <c r="R39" s="0" t="n">
        <v>2</v>
      </c>
      <c r="S39" s="0" t="n">
        <v>5</v>
      </c>
      <c r="T39" s="0" t="n">
        <v>4</v>
      </c>
      <c r="U39" s="0" t="n">
        <v>6</v>
      </c>
      <c r="V39" s="0" t="n">
        <v>6</v>
      </c>
      <c r="W39" s="0" t="n">
        <v>2</v>
      </c>
      <c r="X39" s="0" t="n">
        <v>6</v>
      </c>
      <c r="Y39" s="12" t="n">
        <v>15</v>
      </c>
    </row>
    <row r="40" customFormat="false" ht="15" hidden="false" customHeight="false" outlineLevel="0" collapsed="false">
      <c r="A40" s="8"/>
      <c r="B40" s="12" t="s">
        <v>20</v>
      </c>
      <c r="C40" s="8" t="n">
        <v>270</v>
      </c>
      <c r="D40" s="0" t="n">
        <v>251</v>
      </c>
      <c r="E40" s="0" t="n">
        <v>282</v>
      </c>
      <c r="F40" s="0" t="n">
        <v>291</v>
      </c>
      <c r="G40" s="0" t="n">
        <v>283</v>
      </c>
      <c r="H40" s="0" t="n">
        <v>322</v>
      </c>
      <c r="I40" s="0" t="n">
        <v>280</v>
      </c>
      <c r="J40" s="0" t="n">
        <v>262</v>
      </c>
      <c r="K40" s="0" t="n">
        <v>291</v>
      </c>
      <c r="L40" s="12" t="n">
        <v>324</v>
      </c>
      <c r="N40" s="8"/>
      <c r="O40" s="12" t="s">
        <v>20</v>
      </c>
      <c r="P40" s="8" t="n">
        <v>3711</v>
      </c>
      <c r="Q40" s="0" t="n">
        <v>3556</v>
      </c>
      <c r="R40" s="0" t="n">
        <v>3209</v>
      </c>
      <c r="S40" s="0" t="n">
        <v>3097</v>
      </c>
      <c r="T40" s="0" t="n">
        <v>2986</v>
      </c>
      <c r="U40" s="0" t="n">
        <v>2753</v>
      </c>
      <c r="V40" s="0" t="n">
        <v>2696</v>
      </c>
      <c r="W40" s="0" t="n">
        <v>2585</v>
      </c>
      <c r="X40" s="0" t="n">
        <v>2621</v>
      </c>
      <c r="Y40" s="12" t="n">
        <v>2744</v>
      </c>
    </row>
    <row r="41" customFormat="false" ht="15" hidden="false" customHeight="false" outlineLevel="0" collapsed="false">
      <c r="A41" s="8"/>
      <c r="B41" s="12" t="s">
        <v>22</v>
      </c>
      <c r="C41" s="8" t="n">
        <v>382</v>
      </c>
      <c r="D41" s="0" t="n">
        <v>408</v>
      </c>
      <c r="E41" s="0" t="n">
        <v>445</v>
      </c>
      <c r="F41" s="0" t="n">
        <v>459</v>
      </c>
      <c r="G41" s="0" t="n">
        <v>494</v>
      </c>
      <c r="H41" s="0" t="n">
        <v>467</v>
      </c>
      <c r="I41" s="0" t="n">
        <v>447</v>
      </c>
      <c r="J41" s="0" t="n">
        <v>464</v>
      </c>
      <c r="K41" s="0" t="n">
        <v>490</v>
      </c>
      <c r="L41" s="12" t="n">
        <v>422</v>
      </c>
      <c r="N41" s="8"/>
      <c r="O41" s="12" t="s">
        <v>22</v>
      </c>
      <c r="P41" s="8" t="n">
        <v>2137</v>
      </c>
      <c r="Q41" s="0" t="n">
        <v>2124</v>
      </c>
      <c r="R41" s="0" t="n">
        <v>2214</v>
      </c>
      <c r="S41" s="0" t="n">
        <v>2140</v>
      </c>
      <c r="T41" s="0" t="n">
        <v>2116</v>
      </c>
      <c r="U41" s="0" t="n">
        <v>1871</v>
      </c>
      <c r="V41" s="0" t="n">
        <v>1699</v>
      </c>
      <c r="W41" s="0" t="n">
        <v>1663</v>
      </c>
      <c r="X41" s="0" t="n">
        <v>1564</v>
      </c>
      <c r="Y41" s="12" t="n">
        <v>1416</v>
      </c>
    </row>
    <row r="42" customFormat="false" ht="15" hidden="false" customHeight="false" outlineLevel="0" collapsed="false">
      <c r="A42" s="8" t="s">
        <v>26</v>
      </c>
      <c r="B42" s="12" t="s">
        <v>16</v>
      </c>
      <c r="C42" s="8" t="n">
        <v>100</v>
      </c>
      <c r="D42" s="0" t="n">
        <v>102</v>
      </c>
      <c r="E42" s="0" t="n">
        <v>99</v>
      </c>
      <c r="F42" s="0" t="n">
        <v>140</v>
      </c>
      <c r="G42" s="0" t="n">
        <v>136</v>
      </c>
      <c r="H42" s="0" t="n">
        <v>147</v>
      </c>
      <c r="I42" s="0" t="n">
        <v>133</v>
      </c>
      <c r="J42" s="0" t="n">
        <v>126</v>
      </c>
      <c r="K42" s="0" t="n">
        <v>143</v>
      </c>
      <c r="L42" s="12" t="n">
        <v>170</v>
      </c>
      <c r="N42" s="8" t="s">
        <v>26</v>
      </c>
      <c r="O42" s="12" t="s">
        <v>16</v>
      </c>
      <c r="P42" s="8" t="n">
        <v>1589</v>
      </c>
      <c r="Q42" s="0" t="n">
        <v>1481</v>
      </c>
      <c r="R42" s="0" t="n">
        <v>1448</v>
      </c>
      <c r="S42" s="0" t="n">
        <v>1359</v>
      </c>
      <c r="T42" s="0" t="n">
        <v>1465</v>
      </c>
      <c r="U42" s="0" t="n">
        <v>1255</v>
      </c>
      <c r="V42" s="0" t="n">
        <v>1247</v>
      </c>
      <c r="W42" s="0" t="n">
        <v>1240</v>
      </c>
      <c r="X42" s="0" t="n">
        <v>1195</v>
      </c>
      <c r="Y42" s="12" t="n">
        <v>1167</v>
      </c>
    </row>
    <row r="43" customFormat="false" ht="15" hidden="false" customHeight="false" outlineLevel="0" collapsed="false">
      <c r="A43" s="8"/>
      <c r="B43" s="12" t="s">
        <v>18</v>
      </c>
      <c r="C43" s="8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12" t="n">
        <v>1</v>
      </c>
      <c r="N43" s="8"/>
      <c r="O43" s="12" t="s">
        <v>18</v>
      </c>
      <c r="P43" s="8" t="n">
        <v>3</v>
      </c>
      <c r="Q43" s="0" t="n">
        <v>1</v>
      </c>
      <c r="R43" s="0" t="n">
        <v>1</v>
      </c>
      <c r="S43" s="0" t="n">
        <v>2</v>
      </c>
      <c r="T43" s="0" t="n">
        <v>0</v>
      </c>
      <c r="U43" s="0" t="n">
        <v>1</v>
      </c>
      <c r="V43" s="0" t="n">
        <v>2</v>
      </c>
      <c r="W43" s="0" t="n">
        <v>0</v>
      </c>
      <c r="X43" s="0" t="n">
        <v>2</v>
      </c>
      <c r="Y43" s="12" t="n">
        <v>1</v>
      </c>
    </row>
    <row r="44" customFormat="false" ht="15" hidden="false" customHeight="false" outlineLevel="0" collapsed="false">
      <c r="A44" s="8"/>
      <c r="B44" s="12" t="s">
        <v>20</v>
      </c>
      <c r="C44" s="8" t="n">
        <v>34</v>
      </c>
      <c r="D44" s="0" t="n">
        <v>35</v>
      </c>
      <c r="E44" s="0" t="n">
        <v>30</v>
      </c>
      <c r="F44" s="0" t="n">
        <v>42</v>
      </c>
      <c r="G44" s="0" t="n">
        <v>44</v>
      </c>
      <c r="H44" s="0" t="n">
        <v>46</v>
      </c>
      <c r="I44" s="0" t="n">
        <v>45</v>
      </c>
      <c r="J44" s="0" t="n">
        <v>42</v>
      </c>
      <c r="K44" s="0" t="n">
        <v>49</v>
      </c>
      <c r="L44" s="12" t="n">
        <v>62</v>
      </c>
      <c r="N44" s="8"/>
      <c r="O44" s="12" t="s">
        <v>20</v>
      </c>
      <c r="P44" s="8" t="n">
        <v>1221</v>
      </c>
      <c r="Q44" s="0" t="n">
        <v>1070</v>
      </c>
      <c r="R44" s="0" t="n">
        <v>997</v>
      </c>
      <c r="S44" s="0" t="n">
        <v>911</v>
      </c>
      <c r="T44" s="0" t="n">
        <v>1012</v>
      </c>
      <c r="U44" s="0" t="n">
        <v>838</v>
      </c>
      <c r="V44" s="0" t="n">
        <v>864</v>
      </c>
      <c r="W44" s="0" t="n">
        <v>883</v>
      </c>
      <c r="X44" s="0" t="n">
        <v>877</v>
      </c>
      <c r="Y44" s="12" t="n">
        <v>867</v>
      </c>
    </row>
    <row r="45" customFormat="false" ht="15" hidden="false" customHeight="false" outlineLevel="0" collapsed="false">
      <c r="A45" s="16"/>
      <c r="B45" s="17" t="s">
        <v>22</v>
      </c>
      <c r="C45" s="16" t="n">
        <v>66</v>
      </c>
      <c r="D45" s="21" t="n">
        <v>67</v>
      </c>
      <c r="E45" s="21" t="n">
        <v>69</v>
      </c>
      <c r="F45" s="21" t="n">
        <v>98</v>
      </c>
      <c r="G45" s="21" t="n">
        <v>92</v>
      </c>
      <c r="H45" s="21" t="n">
        <v>101</v>
      </c>
      <c r="I45" s="21" t="n">
        <v>88</v>
      </c>
      <c r="J45" s="21" t="n">
        <v>84</v>
      </c>
      <c r="K45" s="21" t="n">
        <v>94</v>
      </c>
      <c r="L45" s="17" t="n">
        <v>107</v>
      </c>
      <c r="N45" s="16"/>
      <c r="O45" s="17" t="s">
        <v>22</v>
      </c>
      <c r="P45" s="16" t="n">
        <v>365</v>
      </c>
      <c r="Q45" s="21" t="n">
        <v>410</v>
      </c>
      <c r="R45" s="21" t="n">
        <v>450</v>
      </c>
      <c r="S45" s="21" t="n">
        <v>446</v>
      </c>
      <c r="T45" s="21" t="n">
        <v>453</v>
      </c>
      <c r="U45" s="21" t="n">
        <v>416</v>
      </c>
      <c r="V45" s="21" t="n">
        <v>381</v>
      </c>
      <c r="W45" s="21" t="n">
        <v>357</v>
      </c>
      <c r="X45" s="21" t="n">
        <v>316</v>
      </c>
      <c r="Y45" s="17" t="n">
        <v>299</v>
      </c>
    </row>
    <row r="47" customFormat="false" ht="15" hidden="false" customHeight="false" outlineLevel="0" collapsed="false">
      <c r="A47" s="22" t="s">
        <v>30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N47" s="1" t="s">
        <v>31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customFormat="false" ht="15" hidden="false" customHeight="false" outlineLevel="0" collapsed="false">
      <c r="A48" s="2" t="s">
        <v>2</v>
      </c>
      <c r="B48" s="3" t="s">
        <v>3</v>
      </c>
      <c r="C48" s="2" t="s">
        <v>4</v>
      </c>
      <c r="D48" s="7" t="s">
        <v>5</v>
      </c>
      <c r="E48" s="7" t="s">
        <v>6</v>
      </c>
      <c r="F48" s="7" t="s">
        <v>7</v>
      </c>
      <c r="G48" s="7" t="s">
        <v>8</v>
      </c>
      <c r="H48" s="7" t="s">
        <v>9</v>
      </c>
      <c r="I48" s="7" t="s">
        <v>10</v>
      </c>
      <c r="J48" s="7" t="s">
        <v>11</v>
      </c>
      <c r="K48" s="7" t="s">
        <v>12</v>
      </c>
      <c r="L48" s="3" t="s">
        <v>13</v>
      </c>
      <c r="N48" s="2" t="s">
        <v>2</v>
      </c>
      <c r="O48" s="3" t="s">
        <v>3</v>
      </c>
      <c r="P48" s="2" t="s">
        <v>4</v>
      </c>
      <c r="Q48" s="7" t="s">
        <v>5</v>
      </c>
      <c r="R48" s="7" t="s">
        <v>6</v>
      </c>
      <c r="S48" s="7" t="s">
        <v>7</v>
      </c>
      <c r="T48" s="7" t="s">
        <v>8</v>
      </c>
      <c r="U48" s="7" t="s">
        <v>9</v>
      </c>
      <c r="V48" s="7" t="s">
        <v>10</v>
      </c>
      <c r="W48" s="7" t="s">
        <v>11</v>
      </c>
      <c r="X48" s="7" t="s">
        <v>12</v>
      </c>
      <c r="Y48" s="3" t="s">
        <v>13</v>
      </c>
    </row>
    <row r="49" customFormat="false" ht="15" hidden="false" customHeight="false" outlineLevel="0" collapsed="false">
      <c r="A49" s="8" t="s">
        <v>15</v>
      </c>
      <c r="B49" s="12" t="s">
        <v>16</v>
      </c>
      <c r="C49" s="8" t="n">
        <v>23301</v>
      </c>
      <c r="D49" s="0" t="n">
        <v>21071</v>
      </c>
      <c r="E49" s="0" t="n">
        <v>19749</v>
      </c>
      <c r="F49" s="0" t="n">
        <v>18956</v>
      </c>
      <c r="G49" s="0" t="n">
        <v>17756</v>
      </c>
      <c r="H49" s="0" t="n">
        <v>16759</v>
      </c>
      <c r="I49" s="0" t="n">
        <v>16329</v>
      </c>
      <c r="J49" s="0" t="n">
        <v>15864</v>
      </c>
      <c r="K49" s="0" t="n">
        <v>16081</v>
      </c>
      <c r="L49" s="12" t="n">
        <v>15926</v>
      </c>
      <c r="N49" s="8" t="s">
        <v>15</v>
      </c>
      <c r="O49" s="12" t="s">
        <v>16</v>
      </c>
      <c r="P49" s="4" t="n">
        <f aca="false">P26-C26-C49</f>
        <v>12130</v>
      </c>
      <c r="Q49" s="5" t="n">
        <f aca="false">Q26-D26-D49</f>
        <v>12483</v>
      </c>
      <c r="R49" s="5" t="n">
        <f aca="false">R26-E26-E49</f>
        <v>12757</v>
      </c>
      <c r="S49" s="5" t="n">
        <f aca="false">S26-F26-F49</f>
        <v>12602</v>
      </c>
      <c r="T49" s="5" t="n">
        <f aca="false">T26-G26-G49</f>
        <v>12395</v>
      </c>
      <c r="U49" s="5" t="n">
        <f aca="false">U26-H26-H49</f>
        <v>10760</v>
      </c>
      <c r="V49" s="5" t="n">
        <f aca="false">V26-I26-I49</f>
        <v>9804</v>
      </c>
      <c r="W49" s="5" t="n">
        <f aca="false">W26-J26-J49</f>
        <v>9120</v>
      </c>
      <c r="X49" s="5" t="n">
        <f aca="false">X26-K26-K49</f>
        <v>8547</v>
      </c>
      <c r="Y49" s="6" t="n">
        <f aca="false">Y26-L26-L49</f>
        <v>7861</v>
      </c>
    </row>
    <row r="50" customFormat="false" ht="15" hidden="false" customHeight="false" outlineLevel="0" collapsed="false">
      <c r="A50" s="8"/>
      <c r="B50" s="12" t="s">
        <v>18</v>
      </c>
      <c r="C50" s="8" t="n">
        <v>17</v>
      </c>
      <c r="D50" s="0" t="n">
        <v>13</v>
      </c>
      <c r="E50" s="0" t="n">
        <v>11</v>
      </c>
      <c r="F50" s="0" t="n">
        <v>18</v>
      </c>
      <c r="G50" s="0" t="n">
        <v>16</v>
      </c>
      <c r="H50" s="0" t="n">
        <v>24</v>
      </c>
      <c r="I50" s="0" t="n">
        <v>28</v>
      </c>
      <c r="J50" s="0" t="n">
        <v>17</v>
      </c>
      <c r="K50" s="0" t="n">
        <v>32</v>
      </c>
      <c r="L50" s="12" t="n">
        <v>36</v>
      </c>
      <c r="N50" s="8"/>
      <c r="O50" s="12" t="s">
        <v>18</v>
      </c>
      <c r="P50" s="8" t="n">
        <f aca="false">P27-C27-C50</f>
        <v>2</v>
      </c>
      <c r="Q50" s="0" t="n">
        <f aca="false">Q27-D27-D50</f>
        <v>1</v>
      </c>
      <c r="R50" s="0" t="n">
        <f aca="false">R27-E27-E50</f>
        <v>2</v>
      </c>
      <c r="S50" s="0" t="n">
        <f aca="false">S27-F27-F50</f>
        <v>8</v>
      </c>
      <c r="T50" s="0" t="n">
        <f aca="false">T27-G27-G50</f>
        <v>2</v>
      </c>
      <c r="U50" s="0" t="n">
        <f aca="false">U27-H27-H50</f>
        <v>5</v>
      </c>
      <c r="V50" s="0" t="n">
        <f aca="false">V27-I27-I50</f>
        <v>4</v>
      </c>
      <c r="W50" s="0" t="n">
        <f aca="false">W27-J27-J50</f>
        <v>3</v>
      </c>
      <c r="X50" s="0" t="n">
        <f aca="false">X27-K27-K50</f>
        <v>8</v>
      </c>
      <c r="Y50" s="12" t="n">
        <f aca="false">Y27-L27-L50</f>
        <v>9</v>
      </c>
    </row>
    <row r="51" customFormat="false" ht="15" hidden="false" customHeight="false" outlineLevel="0" collapsed="false">
      <c r="A51" s="8"/>
      <c r="B51" s="12" t="s">
        <v>20</v>
      </c>
      <c r="C51" s="8" t="n">
        <v>21491</v>
      </c>
      <c r="D51" s="0" t="n">
        <v>19341</v>
      </c>
      <c r="E51" s="0" t="n">
        <v>18152</v>
      </c>
      <c r="F51" s="0" t="n">
        <v>17437</v>
      </c>
      <c r="G51" s="0" t="n">
        <v>16351</v>
      </c>
      <c r="H51" s="0" t="n">
        <v>15445</v>
      </c>
      <c r="I51" s="0" t="n">
        <v>15123</v>
      </c>
      <c r="J51" s="0" t="n">
        <v>14743</v>
      </c>
      <c r="K51" s="0" t="n">
        <v>14898</v>
      </c>
      <c r="L51" s="12" t="n">
        <v>14734</v>
      </c>
      <c r="N51" s="8"/>
      <c r="O51" s="12" t="s">
        <v>20</v>
      </c>
      <c r="P51" s="8" t="n">
        <f aca="false">P28-C28-C51</f>
        <v>2993</v>
      </c>
      <c r="Q51" s="0" t="n">
        <f aca="false">Q28-D28-D51</f>
        <v>2919</v>
      </c>
      <c r="R51" s="0" t="n">
        <f aca="false">R28-E28-E51</f>
        <v>3011</v>
      </c>
      <c r="S51" s="0" t="n">
        <f aca="false">S28-F28-F51</f>
        <v>2841</v>
      </c>
      <c r="T51" s="0" t="n">
        <f aca="false">T28-G28-G51</f>
        <v>3033</v>
      </c>
      <c r="U51" s="0" t="n">
        <f aca="false">U28-H28-H51</f>
        <v>2638</v>
      </c>
      <c r="V51" s="0" t="n">
        <f aca="false">V28-I28-I51</f>
        <v>2709</v>
      </c>
      <c r="W51" s="0" t="n">
        <f aca="false">W28-J28-J51</f>
        <v>2511</v>
      </c>
      <c r="X51" s="0" t="n">
        <f aca="false">X28-K28-K51</f>
        <v>2522</v>
      </c>
      <c r="Y51" s="12" t="n">
        <f aca="false">Y28-L28-L51</f>
        <v>2471</v>
      </c>
    </row>
    <row r="52" customFormat="false" ht="15" hidden="false" customHeight="false" outlineLevel="0" collapsed="false">
      <c r="A52" s="8"/>
      <c r="B52" s="12" t="s">
        <v>22</v>
      </c>
      <c r="C52" s="8" t="n">
        <v>1793</v>
      </c>
      <c r="D52" s="0" t="n">
        <v>1717</v>
      </c>
      <c r="E52" s="0" t="n">
        <v>1586</v>
      </c>
      <c r="F52" s="0" t="n">
        <v>1501</v>
      </c>
      <c r="G52" s="0" t="n">
        <v>1389</v>
      </c>
      <c r="H52" s="0" t="n">
        <v>1290</v>
      </c>
      <c r="I52" s="0" t="n">
        <v>1178</v>
      </c>
      <c r="J52" s="0" t="n">
        <v>1104</v>
      </c>
      <c r="K52" s="0" t="n">
        <v>1151</v>
      </c>
      <c r="L52" s="12" t="n">
        <v>1156</v>
      </c>
      <c r="N52" s="8"/>
      <c r="O52" s="12" t="s">
        <v>22</v>
      </c>
      <c r="P52" s="8" t="n">
        <f aca="false">P29-C29-C52</f>
        <v>9135</v>
      </c>
      <c r="Q52" s="0" t="n">
        <f aca="false">Q29-D29-D52</f>
        <v>9563</v>
      </c>
      <c r="R52" s="0" t="n">
        <f aca="false">R29-E29-E52</f>
        <v>9744</v>
      </c>
      <c r="S52" s="0" t="n">
        <f aca="false">S29-F29-F52</f>
        <v>9753</v>
      </c>
      <c r="T52" s="0" t="n">
        <f aca="false">T29-G29-G52</f>
        <v>9360</v>
      </c>
      <c r="U52" s="0" t="n">
        <f aca="false">U29-H29-H52</f>
        <v>8117</v>
      </c>
      <c r="V52" s="0" t="n">
        <f aca="false">V29-I29-I52</f>
        <v>7091</v>
      </c>
      <c r="W52" s="0" t="n">
        <f aca="false">W29-J29-J52</f>
        <v>6606</v>
      </c>
      <c r="X52" s="0" t="n">
        <f aca="false">X29-K29-K52</f>
        <v>6017</v>
      </c>
      <c r="Y52" s="12" t="n">
        <f aca="false">Y29-L29-L52</f>
        <v>5381</v>
      </c>
    </row>
    <row r="53" customFormat="false" ht="15" hidden="false" customHeight="false" outlineLevel="0" collapsed="false">
      <c r="A53" s="8" t="s">
        <v>23</v>
      </c>
      <c r="B53" s="12" t="s">
        <v>16</v>
      </c>
      <c r="C53" s="8" t="n">
        <v>10574</v>
      </c>
      <c r="D53" s="0" t="n">
        <v>9485</v>
      </c>
      <c r="E53" s="0" t="n">
        <v>8954</v>
      </c>
      <c r="F53" s="0" t="n">
        <v>8570</v>
      </c>
      <c r="G53" s="0" t="n">
        <v>8027</v>
      </c>
      <c r="H53" s="0" t="n">
        <v>7500</v>
      </c>
      <c r="I53" s="0" t="n">
        <v>7401</v>
      </c>
      <c r="J53" s="0" t="n">
        <v>7037</v>
      </c>
      <c r="K53" s="0" t="n">
        <v>7285</v>
      </c>
      <c r="L53" s="12" t="n">
        <v>7207</v>
      </c>
      <c r="N53" s="8" t="s">
        <v>23</v>
      </c>
      <c r="O53" s="12" t="s">
        <v>16</v>
      </c>
      <c r="P53" s="8" t="n">
        <f aca="false">P30-C30-C53</f>
        <v>6300</v>
      </c>
      <c r="Q53" s="0" t="n">
        <f aca="false">Q30-D30-D53</f>
        <v>6443</v>
      </c>
      <c r="R53" s="0" t="n">
        <f aca="false">R30-E30-E53</f>
        <v>6576</v>
      </c>
      <c r="S53" s="0" t="n">
        <f aca="false">S30-F30-F53</f>
        <v>6497</v>
      </c>
      <c r="T53" s="0" t="n">
        <f aca="false">T30-G30-G53</f>
        <v>6338</v>
      </c>
      <c r="U53" s="0" t="n">
        <f aca="false">U30-H30-H53</f>
        <v>5554</v>
      </c>
      <c r="V53" s="0" t="n">
        <f aca="false">V30-I30-I53</f>
        <v>4937</v>
      </c>
      <c r="W53" s="0" t="n">
        <f aca="false">W30-J30-J53</f>
        <v>4618</v>
      </c>
      <c r="X53" s="0" t="n">
        <f aca="false">X30-K30-K53</f>
        <v>4316</v>
      </c>
      <c r="Y53" s="12" t="n">
        <f aca="false">Y30-L30-L53</f>
        <v>4062</v>
      </c>
    </row>
    <row r="54" customFormat="false" ht="15" hidden="false" customHeight="false" outlineLevel="0" collapsed="false">
      <c r="A54" s="8"/>
      <c r="B54" s="12" t="s">
        <v>18</v>
      </c>
      <c r="C54" s="8" t="n">
        <v>7</v>
      </c>
      <c r="D54" s="0" t="n">
        <v>7</v>
      </c>
      <c r="E54" s="0" t="n">
        <v>4</v>
      </c>
      <c r="F54" s="0" t="n">
        <v>11</v>
      </c>
      <c r="G54" s="0" t="n">
        <v>8</v>
      </c>
      <c r="H54" s="0" t="n">
        <v>8</v>
      </c>
      <c r="I54" s="0" t="n">
        <v>17</v>
      </c>
      <c r="J54" s="0" t="n">
        <v>8</v>
      </c>
      <c r="K54" s="0" t="n">
        <v>18</v>
      </c>
      <c r="L54" s="12" t="n">
        <v>12</v>
      </c>
      <c r="N54" s="8"/>
      <c r="O54" s="12" t="s">
        <v>18</v>
      </c>
      <c r="P54" s="8" t="n">
        <f aca="false">P31-C31-C54</f>
        <v>0</v>
      </c>
      <c r="Q54" s="0" t="n">
        <f aca="false">Q31-D31-D54</f>
        <v>0</v>
      </c>
      <c r="R54" s="0" t="n">
        <f aca="false">R31-E31-E54</f>
        <v>2</v>
      </c>
      <c r="S54" s="0" t="n">
        <f aca="false">S31-F31-F54</f>
        <v>5</v>
      </c>
      <c r="T54" s="0" t="n">
        <f aca="false">T31-G31-G54</f>
        <v>2</v>
      </c>
      <c r="U54" s="0" t="n">
        <f aca="false">U31-H31-H54</f>
        <v>5</v>
      </c>
      <c r="V54" s="0" t="n">
        <f aca="false">V31-I31-I54</f>
        <v>0</v>
      </c>
      <c r="W54" s="0" t="n">
        <f aca="false">W31-J31-J54</f>
        <v>2</v>
      </c>
      <c r="X54" s="0" t="n">
        <f aca="false">X31-K31-K54</f>
        <v>5</v>
      </c>
      <c r="Y54" s="12" t="n">
        <f aca="false">Y31-L31-L54</f>
        <v>4</v>
      </c>
    </row>
    <row r="55" customFormat="false" ht="15" hidden="false" customHeight="false" outlineLevel="0" collapsed="false">
      <c r="A55" s="8"/>
      <c r="B55" s="12" t="s">
        <v>20</v>
      </c>
      <c r="C55" s="8" t="n">
        <v>9814</v>
      </c>
      <c r="D55" s="0" t="n">
        <v>8761</v>
      </c>
      <c r="E55" s="0" t="n">
        <v>8280</v>
      </c>
      <c r="F55" s="0" t="n">
        <v>7896</v>
      </c>
      <c r="G55" s="0" t="n">
        <v>7427</v>
      </c>
      <c r="H55" s="0" t="n">
        <v>6944</v>
      </c>
      <c r="I55" s="0" t="n">
        <v>6876</v>
      </c>
      <c r="J55" s="0" t="n">
        <v>6588</v>
      </c>
      <c r="K55" s="0" t="n">
        <v>6785</v>
      </c>
      <c r="L55" s="12" t="n">
        <v>6679</v>
      </c>
      <c r="N55" s="8"/>
      <c r="O55" s="12" t="s">
        <v>20</v>
      </c>
      <c r="P55" s="8" t="n">
        <f aca="false">P32-C32-C55</f>
        <v>1564</v>
      </c>
      <c r="Q55" s="0" t="n">
        <f aca="false">Q32-D32-D55</f>
        <v>1518</v>
      </c>
      <c r="R55" s="0" t="n">
        <f aca="false">R32-E32-E55</f>
        <v>1566</v>
      </c>
      <c r="S55" s="0" t="n">
        <f aca="false">S32-F32-F55</f>
        <v>1493</v>
      </c>
      <c r="T55" s="0" t="n">
        <f aca="false">T32-G32-G55</f>
        <v>1581</v>
      </c>
      <c r="U55" s="0" t="n">
        <f aca="false">U32-H32-H55</f>
        <v>1407</v>
      </c>
      <c r="V55" s="0" t="n">
        <f aca="false">V32-I32-I55</f>
        <v>1360</v>
      </c>
      <c r="W55" s="0" t="n">
        <f aca="false">W32-J32-J55</f>
        <v>1307</v>
      </c>
      <c r="X55" s="0" t="n">
        <f aca="false">X32-K32-K55</f>
        <v>1298</v>
      </c>
      <c r="Y55" s="12" t="n">
        <f aca="false">Y32-L32-L55</f>
        <v>1301</v>
      </c>
    </row>
    <row r="56" customFormat="false" ht="15" hidden="false" customHeight="false" outlineLevel="0" collapsed="false">
      <c r="A56" s="8"/>
      <c r="B56" s="12" t="s">
        <v>22</v>
      </c>
      <c r="C56" s="8" t="n">
        <v>753</v>
      </c>
      <c r="D56" s="0" t="n">
        <v>717</v>
      </c>
      <c r="E56" s="0" t="n">
        <v>670</v>
      </c>
      <c r="F56" s="0" t="n">
        <v>663</v>
      </c>
      <c r="G56" s="0" t="n">
        <v>592</v>
      </c>
      <c r="H56" s="0" t="n">
        <v>548</v>
      </c>
      <c r="I56" s="0" t="n">
        <v>508</v>
      </c>
      <c r="J56" s="0" t="n">
        <v>441</v>
      </c>
      <c r="K56" s="0" t="n">
        <v>482</v>
      </c>
      <c r="L56" s="12" t="n">
        <v>516</v>
      </c>
      <c r="N56" s="8"/>
      <c r="O56" s="12" t="s">
        <v>22</v>
      </c>
      <c r="P56" s="8" t="n">
        <f aca="false">P33-C33-C56</f>
        <v>4736</v>
      </c>
      <c r="Q56" s="0" t="n">
        <f aca="false">Q33-D33-D56</f>
        <v>4925</v>
      </c>
      <c r="R56" s="0" t="n">
        <f aca="false">R33-E33-E56</f>
        <v>5008</v>
      </c>
      <c r="S56" s="0" t="n">
        <f aca="false">S33-F33-F56</f>
        <v>4999</v>
      </c>
      <c r="T56" s="0" t="n">
        <f aca="false">T33-G33-G56</f>
        <v>4755</v>
      </c>
      <c r="U56" s="0" t="n">
        <f aca="false">U33-H33-H56</f>
        <v>4142</v>
      </c>
      <c r="V56" s="0" t="n">
        <f aca="false">V33-I33-I56</f>
        <v>3577</v>
      </c>
      <c r="W56" s="0" t="n">
        <f aca="false">W33-J33-J56</f>
        <v>3309</v>
      </c>
      <c r="X56" s="0" t="n">
        <f aca="false">X33-K33-K56</f>
        <v>3013</v>
      </c>
      <c r="Y56" s="12" t="n">
        <f aca="false">Y33-L33-L56</f>
        <v>2757</v>
      </c>
    </row>
    <row r="57" customFormat="false" ht="15" hidden="false" customHeight="false" outlineLevel="0" collapsed="false">
      <c r="A57" s="8" t="s">
        <v>24</v>
      </c>
      <c r="B57" s="12" t="s">
        <v>16</v>
      </c>
      <c r="C57" s="8" t="n">
        <v>8334</v>
      </c>
      <c r="D57" s="0" t="n">
        <v>7511</v>
      </c>
      <c r="E57" s="0" t="n">
        <v>7171</v>
      </c>
      <c r="F57" s="0" t="n">
        <v>6966</v>
      </c>
      <c r="G57" s="0" t="n">
        <v>6424</v>
      </c>
      <c r="H57" s="0" t="n">
        <v>6222</v>
      </c>
      <c r="I57" s="0" t="n">
        <v>6015</v>
      </c>
      <c r="J57" s="0" t="n">
        <v>5907</v>
      </c>
      <c r="K57" s="0" t="n">
        <v>5915</v>
      </c>
      <c r="L57" s="12" t="n">
        <v>5731</v>
      </c>
      <c r="N57" s="8" t="s">
        <v>24</v>
      </c>
      <c r="O57" s="12" t="s">
        <v>16</v>
      </c>
      <c r="P57" s="8" t="n">
        <f aca="false">P34-C34-C57</f>
        <v>3536</v>
      </c>
      <c r="Q57" s="0" t="n">
        <f aca="false">Q34-D34-D57</f>
        <v>3712</v>
      </c>
      <c r="R57" s="0" t="n">
        <f aca="false">R34-E34-E57</f>
        <v>3758</v>
      </c>
      <c r="S57" s="0" t="n">
        <f aca="false">S34-F34-F57</f>
        <v>3814</v>
      </c>
      <c r="T57" s="0" t="n">
        <f aca="false">T34-G34-G57</f>
        <v>3704</v>
      </c>
      <c r="U57" s="0" t="n">
        <f aca="false">U34-H34-H57</f>
        <v>3294</v>
      </c>
      <c r="V57" s="0" t="n">
        <f aca="false">V34-I34-I57</f>
        <v>2992</v>
      </c>
      <c r="W57" s="0" t="n">
        <f aca="false">W34-J34-J57</f>
        <v>2785</v>
      </c>
      <c r="X57" s="0" t="n">
        <f aca="false">X34-K34-K57</f>
        <v>2653</v>
      </c>
      <c r="Y57" s="12" t="n">
        <f aca="false">Y34-L34-L57</f>
        <v>2364</v>
      </c>
    </row>
    <row r="58" customFormat="false" ht="15" hidden="false" customHeight="false" outlineLevel="0" collapsed="false">
      <c r="A58" s="8"/>
      <c r="B58" s="12" t="s">
        <v>18</v>
      </c>
      <c r="C58" s="8" t="n">
        <v>5</v>
      </c>
      <c r="D58" s="0" t="n">
        <v>2</v>
      </c>
      <c r="E58" s="0" t="n">
        <v>4</v>
      </c>
      <c r="F58" s="0" t="n">
        <v>2</v>
      </c>
      <c r="G58" s="0" t="n">
        <v>4</v>
      </c>
      <c r="H58" s="0" t="n">
        <v>9</v>
      </c>
      <c r="I58" s="0" t="n">
        <v>4</v>
      </c>
      <c r="J58" s="0" t="n">
        <v>8</v>
      </c>
      <c r="K58" s="0" t="n">
        <v>8</v>
      </c>
      <c r="L58" s="12" t="n">
        <v>14</v>
      </c>
      <c r="N58" s="8"/>
      <c r="O58" s="12" t="s">
        <v>18</v>
      </c>
      <c r="P58" s="8" t="n">
        <f aca="false">P35-C35-C58</f>
        <v>2</v>
      </c>
      <c r="Q58" s="0" t="n">
        <f aca="false">Q35-D35-D58</f>
        <v>0</v>
      </c>
      <c r="R58" s="0" t="n">
        <f aca="false">R35-E35-E58</f>
        <v>0</v>
      </c>
      <c r="S58" s="0" t="n">
        <f aca="false">S35-F35-F58</f>
        <v>1</v>
      </c>
      <c r="T58" s="0" t="n">
        <f aca="false">T35-G35-G58</f>
        <v>0</v>
      </c>
      <c r="U58" s="0" t="n">
        <f aca="false">U35-H35-H58</f>
        <v>0</v>
      </c>
      <c r="V58" s="0" t="n">
        <f aca="false">V35-I35-I58</f>
        <v>3</v>
      </c>
      <c r="W58" s="0" t="n">
        <f aca="false">W35-J35-J58</f>
        <v>1</v>
      </c>
      <c r="X58" s="0" t="n">
        <f aca="false">X35-K35-K58</f>
        <v>2</v>
      </c>
      <c r="Y58" s="12" t="n">
        <f aca="false">Y35-L35-L58</f>
        <v>3</v>
      </c>
    </row>
    <row r="59" customFormat="false" ht="15" hidden="false" customHeight="false" outlineLevel="0" collapsed="false">
      <c r="A59" s="8"/>
      <c r="B59" s="12" t="s">
        <v>20</v>
      </c>
      <c r="C59" s="8" t="n">
        <v>7614</v>
      </c>
      <c r="D59" s="0" t="n">
        <v>6801</v>
      </c>
      <c r="E59" s="0" t="n">
        <v>6506</v>
      </c>
      <c r="F59" s="0" t="n">
        <v>6367</v>
      </c>
      <c r="G59" s="0" t="n">
        <v>5863</v>
      </c>
      <c r="H59" s="0" t="n">
        <v>5699</v>
      </c>
      <c r="I59" s="0" t="n">
        <v>5526</v>
      </c>
      <c r="J59" s="0" t="n">
        <v>5439</v>
      </c>
      <c r="K59" s="0" t="n">
        <v>5422</v>
      </c>
      <c r="L59" s="12" t="n">
        <v>5283</v>
      </c>
      <c r="N59" s="8"/>
      <c r="O59" s="12" t="s">
        <v>20</v>
      </c>
      <c r="P59" s="8" t="n">
        <f aca="false">P36-C36-C59</f>
        <v>864</v>
      </c>
      <c r="Q59" s="0" t="n">
        <f aca="false">Q36-D36-D59</f>
        <v>840</v>
      </c>
      <c r="R59" s="0" t="n">
        <f aca="false">R36-E36-E59</f>
        <v>917</v>
      </c>
      <c r="S59" s="0" t="n">
        <f aca="false">S36-F36-F59</f>
        <v>847</v>
      </c>
      <c r="T59" s="0" t="n">
        <f aca="false">T36-G36-G59</f>
        <v>842</v>
      </c>
      <c r="U59" s="0" t="n">
        <f aca="false">U36-H36-H59</f>
        <v>810</v>
      </c>
      <c r="V59" s="0" t="n">
        <f aca="false">V36-I36-I59</f>
        <v>835</v>
      </c>
      <c r="W59" s="0" t="n">
        <f aca="false">W36-J36-J59</f>
        <v>756</v>
      </c>
      <c r="X59" s="0" t="n">
        <f aca="false">X36-K36-K59</f>
        <v>759</v>
      </c>
      <c r="Y59" s="12" t="n">
        <f aca="false">Y36-L36-L59</f>
        <v>717</v>
      </c>
    </row>
    <row r="60" customFormat="false" ht="15" hidden="false" customHeight="false" outlineLevel="0" collapsed="false">
      <c r="A60" s="8"/>
      <c r="B60" s="12" t="s">
        <v>22</v>
      </c>
      <c r="C60" s="8" t="n">
        <v>715</v>
      </c>
      <c r="D60" s="0" t="n">
        <v>708</v>
      </c>
      <c r="E60" s="0" t="n">
        <v>661</v>
      </c>
      <c r="F60" s="0" t="n">
        <v>597</v>
      </c>
      <c r="G60" s="0" t="n">
        <v>557</v>
      </c>
      <c r="H60" s="0" t="n">
        <v>514</v>
      </c>
      <c r="I60" s="0" t="n">
        <v>485</v>
      </c>
      <c r="J60" s="0" t="n">
        <v>460</v>
      </c>
      <c r="K60" s="0" t="n">
        <v>485</v>
      </c>
      <c r="L60" s="12" t="n">
        <v>434</v>
      </c>
      <c r="N60" s="8"/>
      <c r="O60" s="12" t="s">
        <v>22</v>
      </c>
      <c r="P60" s="8" t="n">
        <f aca="false">P37-C37-C60</f>
        <v>2670</v>
      </c>
      <c r="Q60" s="0" t="n">
        <f aca="false">Q37-D37-D60</f>
        <v>2872</v>
      </c>
      <c r="R60" s="0" t="n">
        <f aca="false">R37-E37-E60</f>
        <v>2841</v>
      </c>
      <c r="S60" s="0" t="n">
        <f aca="false">S37-F37-F60</f>
        <v>2966</v>
      </c>
      <c r="T60" s="0" t="n">
        <f aca="false">T37-G37-G60</f>
        <v>2862</v>
      </c>
      <c r="U60" s="0" t="n">
        <f aca="false">U37-H37-H60</f>
        <v>2484</v>
      </c>
      <c r="V60" s="0" t="n">
        <f aca="false">V37-I37-I60</f>
        <v>2154</v>
      </c>
      <c r="W60" s="0" t="n">
        <f aca="false">W37-J37-J60</f>
        <v>2028</v>
      </c>
      <c r="X60" s="0" t="n">
        <f aca="false">X37-K37-K60</f>
        <v>1892</v>
      </c>
      <c r="Y60" s="12" t="n">
        <f aca="false">Y37-L37-L60</f>
        <v>1644</v>
      </c>
    </row>
    <row r="61" customFormat="false" ht="15" hidden="false" customHeight="false" outlineLevel="0" collapsed="false">
      <c r="A61" s="8" t="s">
        <v>25</v>
      </c>
      <c r="B61" s="12" t="s">
        <v>16</v>
      </c>
      <c r="C61" s="8" t="n">
        <v>3222</v>
      </c>
      <c r="D61" s="0" t="n">
        <v>3048</v>
      </c>
      <c r="E61" s="0" t="n">
        <v>2657</v>
      </c>
      <c r="F61" s="0" t="n">
        <v>2567</v>
      </c>
      <c r="G61" s="0" t="n">
        <v>2354</v>
      </c>
      <c r="H61" s="0" t="n">
        <v>2253</v>
      </c>
      <c r="I61" s="0" t="n">
        <v>2118</v>
      </c>
      <c r="J61" s="0" t="n">
        <v>2087</v>
      </c>
      <c r="K61" s="0" t="n">
        <v>2083</v>
      </c>
      <c r="L61" s="12" t="n">
        <v>2200</v>
      </c>
      <c r="N61" s="8" t="s">
        <v>25</v>
      </c>
      <c r="O61" s="12" t="s">
        <v>16</v>
      </c>
      <c r="P61" s="8" t="n">
        <f aca="false">P38-C38-C61</f>
        <v>1976</v>
      </c>
      <c r="Q61" s="0" t="n">
        <f aca="false">Q38-D38-D61</f>
        <v>1977</v>
      </c>
      <c r="R61" s="0" t="n">
        <f aca="false">R38-E38-E61</f>
        <v>2041</v>
      </c>
      <c r="S61" s="0" t="n">
        <f aca="false">S38-F38-F61</f>
        <v>1925</v>
      </c>
      <c r="T61" s="0" t="n">
        <f aca="false">T38-G38-G61</f>
        <v>1975</v>
      </c>
      <c r="U61" s="0" t="n">
        <f aca="false">U38-H38-H61</f>
        <v>1588</v>
      </c>
      <c r="V61" s="0" t="n">
        <f aca="false">V38-I38-I61</f>
        <v>1556</v>
      </c>
      <c r="W61" s="0" t="n">
        <f aca="false">W38-J38-J61</f>
        <v>1436</v>
      </c>
      <c r="X61" s="0" t="n">
        <f aca="false">X38-K38-K61</f>
        <v>1326</v>
      </c>
      <c r="Y61" s="12" t="n">
        <f aca="false">Y38-L38-L61</f>
        <v>1226</v>
      </c>
    </row>
    <row r="62" customFormat="false" ht="15" hidden="false" customHeight="false" outlineLevel="0" collapsed="false">
      <c r="A62" s="8"/>
      <c r="B62" s="12" t="s">
        <v>18</v>
      </c>
      <c r="C62" s="8" t="n">
        <v>2</v>
      </c>
      <c r="D62" s="0" t="n">
        <v>4</v>
      </c>
      <c r="E62" s="0" t="n">
        <v>2</v>
      </c>
      <c r="F62" s="0" t="n">
        <v>5</v>
      </c>
      <c r="G62" s="0" t="n">
        <v>4</v>
      </c>
      <c r="H62" s="0" t="n">
        <v>6</v>
      </c>
      <c r="I62" s="0" t="n">
        <v>5</v>
      </c>
      <c r="J62" s="0" t="n">
        <v>1</v>
      </c>
      <c r="K62" s="0" t="n">
        <v>4</v>
      </c>
      <c r="L62" s="12" t="n">
        <v>10</v>
      </c>
      <c r="N62" s="8"/>
      <c r="O62" s="12" t="s">
        <v>18</v>
      </c>
      <c r="P62" s="8" t="n">
        <f aca="false">P39-C39-C62</f>
        <v>0</v>
      </c>
      <c r="Q62" s="0" t="n">
        <f aca="false">Q39-D39-D62</f>
        <v>0</v>
      </c>
      <c r="R62" s="0" t="n">
        <f aca="false">R39-E39-E62</f>
        <v>0</v>
      </c>
      <c r="S62" s="0" t="n">
        <f aca="false">S39-F39-F62</f>
        <v>0</v>
      </c>
      <c r="T62" s="0" t="n">
        <f aca="false">T39-G39-G62</f>
        <v>0</v>
      </c>
      <c r="U62" s="0" t="n">
        <f aca="false">U39-H39-H62</f>
        <v>0</v>
      </c>
      <c r="V62" s="0" t="n">
        <f aca="false">V39-I39-I62</f>
        <v>1</v>
      </c>
      <c r="W62" s="0" t="n">
        <f aca="false">W39-J39-J62</f>
        <v>0</v>
      </c>
      <c r="X62" s="0" t="n">
        <f aca="false">X39-K39-K62</f>
        <v>1</v>
      </c>
      <c r="Y62" s="12" t="n">
        <f aca="false">Y39-L39-L62</f>
        <v>2</v>
      </c>
    </row>
    <row r="63" customFormat="false" ht="15" hidden="false" customHeight="false" outlineLevel="0" collapsed="false">
      <c r="A63" s="8"/>
      <c r="B63" s="12" t="s">
        <v>20</v>
      </c>
      <c r="C63" s="8" t="n">
        <v>2963</v>
      </c>
      <c r="D63" s="0" t="n">
        <v>2827</v>
      </c>
      <c r="E63" s="0" t="n">
        <v>2470</v>
      </c>
      <c r="F63" s="0" t="n">
        <v>2377</v>
      </c>
      <c r="G63" s="0" t="n">
        <v>2178</v>
      </c>
      <c r="H63" s="0" t="n">
        <v>2074</v>
      </c>
      <c r="I63" s="0" t="n">
        <v>1977</v>
      </c>
      <c r="J63" s="0" t="n">
        <v>1943</v>
      </c>
      <c r="K63" s="0" t="n">
        <v>1945</v>
      </c>
      <c r="L63" s="12" t="n">
        <v>2041</v>
      </c>
      <c r="N63" s="8"/>
      <c r="O63" s="12" t="s">
        <v>20</v>
      </c>
      <c r="P63" s="8" t="n">
        <f aca="false">P40-C40-C63</f>
        <v>478</v>
      </c>
      <c r="Q63" s="0" t="n">
        <f aca="false">Q40-D40-D63</f>
        <v>478</v>
      </c>
      <c r="R63" s="0" t="n">
        <f aca="false">R40-E40-E63</f>
        <v>457</v>
      </c>
      <c r="S63" s="0" t="n">
        <f aca="false">S40-F40-F63</f>
        <v>429</v>
      </c>
      <c r="T63" s="0" t="n">
        <f aca="false">T40-G40-G63</f>
        <v>525</v>
      </c>
      <c r="U63" s="0" t="n">
        <f aca="false">U40-H40-H63</f>
        <v>357</v>
      </c>
      <c r="V63" s="0" t="n">
        <f aca="false">V40-I40-I63</f>
        <v>439</v>
      </c>
      <c r="W63" s="0" t="n">
        <f aca="false">W40-J40-J63</f>
        <v>380</v>
      </c>
      <c r="X63" s="0" t="n">
        <f aca="false">X40-K40-K63</f>
        <v>385</v>
      </c>
      <c r="Y63" s="12" t="n">
        <f aca="false">Y40-L40-L63</f>
        <v>379</v>
      </c>
    </row>
    <row r="64" customFormat="false" ht="15" hidden="false" customHeight="false" outlineLevel="0" collapsed="false">
      <c r="A64" s="8"/>
      <c r="B64" s="12" t="s">
        <v>22</v>
      </c>
      <c r="C64" s="8" t="n">
        <v>257</v>
      </c>
      <c r="D64" s="0" t="n">
        <v>217</v>
      </c>
      <c r="E64" s="0" t="n">
        <v>185</v>
      </c>
      <c r="F64" s="0" t="n">
        <v>185</v>
      </c>
      <c r="G64" s="0" t="n">
        <v>172</v>
      </c>
      <c r="H64" s="0" t="n">
        <v>173</v>
      </c>
      <c r="I64" s="0" t="n">
        <v>136</v>
      </c>
      <c r="J64" s="0" t="n">
        <v>143</v>
      </c>
      <c r="K64" s="0" t="n">
        <v>134</v>
      </c>
      <c r="L64" s="12" t="n">
        <v>149</v>
      </c>
      <c r="N64" s="8"/>
      <c r="O64" s="12" t="s">
        <v>22</v>
      </c>
      <c r="P64" s="8" t="n">
        <f aca="false">P41-C41-C64</f>
        <v>1498</v>
      </c>
      <c r="Q64" s="0" t="n">
        <f aca="false">Q41-D41-D64</f>
        <v>1499</v>
      </c>
      <c r="R64" s="0" t="n">
        <f aca="false">R41-E41-E64</f>
        <v>1584</v>
      </c>
      <c r="S64" s="0" t="n">
        <f aca="false">S41-F41-F64</f>
        <v>1496</v>
      </c>
      <c r="T64" s="0" t="n">
        <f aca="false">T41-G41-G64</f>
        <v>1450</v>
      </c>
      <c r="U64" s="0" t="n">
        <f aca="false">U41-H41-H64</f>
        <v>1231</v>
      </c>
      <c r="V64" s="0" t="n">
        <f aca="false">V41-I41-I64</f>
        <v>1116</v>
      </c>
      <c r="W64" s="0" t="n">
        <f aca="false">W41-J41-J64</f>
        <v>1056</v>
      </c>
      <c r="X64" s="0" t="n">
        <f aca="false">X41-K41-K64</f>
        <v>940</v>
      </c>
      <c r="Y64" s="12" t="n">
        <f aca="false">Y41-L41-L64</f>
        <v>845</v>
      </c>
    </row>
    <row r="65" customFormat="false" ht="15" hidden="false" customHeight="false" outlineLevel="0" collapsed="false">
      <c r="A65" s="8" t="s">
        <v>26</v>
      </c>
      <c r="B65" s="12" t="s">
        <v>16</v>
      </c>
      <c r="C65" s="8" t="n">
        <v>1171</v>
      </c>
      <c r="D65" s="0" t="n">
        <v>1027</v>
      </c>
      <c r="E65" s="0" t="n">
        <v>967</v>
      </c>
      <c r="F65" s="0" t="n">
        <v>853</v>
      </c>
      <c r="G65" s="0" t="n">
        <v>951</v>
      </c>
      <c r="H65" s="0" t="n">
        <v>784</v>
      </c>
      <c r="I65" s="0" t="n">
        <v>795</v>
      </c>
      <c r="J65" s="0" t="n">
        <v>833</v>
      </c>
      <c r="K65" s="0" t="n">
        <v>798</v>
      </c>
      <c r="L65" s="12" t="n">
        <v>788</v>
      </c>
      <c r="N65" s="8" t="s">
        <v>26</v>
      </c>
      <c r="O65" s="12" t="s">
        <v>16</v>
      </c>
      <c r="P65" s="8" t="n">
        <f aca="false">P42-C42-C65</f>
        <v>318</v>
      </c>
      <c r="Q65" s="0" t="n">
        <f aca="false">Q42-D42-D65</f>
        <v>352</v>
      </c>
      <c r="R65" s="0" t="n">
        <f aca="false">R42-E42-E65</f>
        <v>382</v>
      </c>
      <c r="S65" s="0" t="n">
        <f aca="false">S42-F42-F65</f>
        <v>366</v>
      </c>
      <c r="T65" s="0" t="n">
        <f aca="false">T42-G42-G65</f>
        <v>378</v>
      </c>
      <c r="U65" s="0" t="n">
        <f aca="false">U42-H42-H65</f>
        <v>324</v>
      </c>
      <c r="V65" s="0" t="n">
        <f aca="false">V42-I42-I65</f>
        <v>319</v>
      </c>
      <c r="W65" s="0" t="n">
        <f aca="false">W42-J42-J65</f>
        <v>281</v>
      </c>
      <c r="X65" s="0" t="n">
        <f aca="false">X42-K42-K65</f>
        <v>254</v>
      </c>
      <c r="Y65" s="12" t="n">
        <f aca="false">Y42-L42-L65</f>
        <v>209</v>
      </c>
    </row>
    <row r="66" customFormat="false" ht="15" hidden="false" customHeight="false" outlineLevel="0" collapsed="false">
      <c r="A66" s="8"/>
      <c r="B66" s="12" t="s">
        <v>18</v>
      </c>
      <c r="C66" s="8" t="n">
        <v>3</v>
      </c>
      <c r="D66" s="0" t="n">
        <v>0</v>
      </c>
      <c r="E66" s="0" t="n">
        <v>1</v>
      </c>
      <c r="F66" s="0" t="n">
        <v>0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2</v>
      </c>
      <c r="L66" s="12" t="n">
        <v>0</v>
      </c>
      <c r="N66" s="8"/>
      <c r="O66" s="12" t="s">
        <v>18</v>
      </c>
      <c r="P66" s="8" t="n">
        <f aca="false">P43-C43-C66</f>
        <v>0</v>
      </c>
      <c r="Q66" s="0" t="n">
        <f aca="false">Q43-D43-D66</f>
        <v>1</v>
      </c>
      <c r="R66" s="0" t="n">
        <f aca="false">R43-E43-E66</f>
        <v>0</v>
      </c>
      <c r="S66" s="0" t="n">
        <f aca="false">S43-F43-F66</f>
        <v>2</v>
      </c>
      <c r="T66" s="0" t="n">
        <f aca="false">T43-G43-G66</f>
        <v>0</v>
      </c>
      <c r="U66" s="0" t="n">
        <f aca="false">U43-H43-H66</f>
        <v>0</v>
      </c>
      <c r="V66" s="0" t="n">
        <f aca="false">V43-I43-I66</f>
        <v>0</v>
      </c>
      <c r="W66" s="0" t="n">
        <f aca="false">W43-J43-J66</f>
        <v>0</v>
      </c>
      <c r="X66" s="0" t="n">
        <f aca="false">X43-K43-K66</f>
        <v>0</v>
      </c>
      <c r="Y66" s="12" t="n">
        <f aca="false">Y43-L43-L66</f>
        <v>0</v>
      </c>
    </row>
    <row r="67" customFormat="false" ht="15" hidden="false" customHeight="false" outlineLevel="0" collapsed="false">
      <c r="A67" s="8"/>
      <c r="B67" s="12" t="s">
        <v>20</v>
      </c>
      <c r="C67" s="8" t="n">
        <v>1100</v>
      </c>
      <c r="D67" s="0" t="n">
        <v>952</v>
      </c>
      <c r="E67" s="0" t="n">
        <v>896</v>
      </c>
      <c r="F67" s="0" t="n">
        <v>797</v>
      </c>
      <c r="G67" s="0" t="n">
        <v>883</v>
      </c>
      <c r="H67" s="0" t="n">
        <v>728</v>
      </c>
      <c r="I67" s="0" t="n">
        <v>744</v>
      </c>
      <c r="J67" s="0" t="n">
        <v>773</v>
      </c>
      <c r="K67" s="0" t="n">
        <v>746</v>
      </c>
      <c r="L67" s="12" t="n">
        <v>731</v>
      </c>
      <c r="N67" s="8"/>
      <c r="O67" s="12" t="s">
        <v>20</v>
      </c>
      <c r="P67" s="8" t="n">
        <f aca="false">P44-C44-C67</f>
        <v>87</v>
      </c>
      <c r="Q67" s="0" t="n">
        <f aca="false">Q44-D44-D67</f>
        <v>83</v>
      </c>
      <c r="R67" s="0" t="n">
        <f aca="false">R44-E44-E67</f>
        <v>71</v>
      </c>
      <c r="S67" s="0" t="n">
        <f aca="false">S44-F44-F67</f>
        <v>72</v>
      </c>
      <c r="T67" s="0" t="n">
        <f aca="false">T44-G44-G67</f>
        <v>85</v>
      </c>
      <c r="U67" s="0" t="n">
        <f aca="false">U44-H44-H67</f>
        <v>64</v>
      </c>
      <c r="V67" s="0" t="n">
        <f aca="false">V44-I44-I67</f>
        <v>75</v>
      </c>
      <c r="W67" s="0" t="n">
        <f aca="false">W44-J44-J67</f>
        <v>68</v>
      </c>
      <c r="X67" s="0" t="n">
        <f aca="false">X44-K44-K67</f>
        <v>82</v>
      </c>
      <c r="Y67" s="12" t="n">
        <f aca="false">Y44-L44-L67</f>
        <v>74</v>
      </c>
    </row>
    <row r="68" customFormat="false" ht="15" hidden="false" customHeight="false" outlineLevel="0" collapsed="false">
      <c r="A68" s="16"/>
      <c r="B68" s="17" t="s">
        <v>22</v>
      </c>
      <c r="C68" s="16" t="n">
        <v>68</v>
      </c>
      <c r="D68" s="21" t="n">
        <v>75</v>
      </c>
      <c r="E68" s="21" t="n">
        <v>70</v>
      </c>
      <c r="F68" s="21" t="n">
        <v>56</v>
      </c>
      <c r="G68" s="21" t="n">
        <v>68</v>
      </c>
      <c r="H68" s="21" t="n">
        <v>55</v>
      </c>
      <c r="I68" s="21" t="n">
        <v>49</v>
      </c>
      <c r="J68" s="21" t="n">
        <v>60</v>
      </c>
      <c r="K68" s="21" t="n">
        <v>50</v>
      </c>
      <c r="L68" s="17" t="n">
        <v>57</v>
      </c>
      <c r="N68" s="16"/>
      <c r="O68" s="17" t="s">
        <v>22</v>
      </c>
      <c r="P68" s="16" t="n">
        <f aca="false">P45-C45-C68</f>
        <v>231</v>
      </c>
      <c r="Q68" s="21" t="n">
        <f aca="false">Q45-D45-D68</f>
        <v>268</v>
      </c>
      <c r="R68" s="21" t="n">
        <f aca="false">R45-E45-E68</f>
        <v>311</v>
      </c>
      <c r="S68" s="21" t="n">
        <f aca="false">S45-F45-F68</f>
        <v>292</v>
      </c>
      <c r="T68" s="21" t="n">
        <f aca="false">T45-G45-G68</f>
        <v>293</v>
      </c>
      <c r="U68" s="21" t="n">
        <f aca="false">U45-H45-H68</f>
        <v>260</v>
      </c>
      <c r="V68" s="21" t="n">
        <f aca="false">V45-I45-I68</f>
        <v>244</v>
      </c>
      <c r="W68" s="21" t="n">
        <f aca="false">W45-J45-J68</f>
        <v>213</v>
      </c>
      <c r="X68" s="21" t="n">
        <f aca="false">X45-K45-K68</f>
        <v>172</v>
      </c>
      <c r="Y68" s="17" t="n">
        <f aca="false">Y45-L45-L68</f>
        <v>135</v>
      </c>
    </row>
    <row r="70" customFormat="false" ht="15" hidden="false" customHeight="false" outlineLevel="0" collapsed="false">
      <c r="A70" s="23" t="s">
        <v>32</v>
      </c>
      <c r="B70" s="23"/>
      <c r="C70" s="23"/>
      <c r="D70" s="23"/>
      <c r="E70" s="23"/>
    </row>
    <row r="71" customFormat="false" ht="15" hidden="false" customHeight="false" outlineLevel="0" collapsed="false">
      <c r="A71" s="2" t="s">
        <v>2</v>
      </c>
      <c r="B71" s="3" t="s">
        <v>33</v>
      </c>
      <c r="C71" s="7" t="s">
        <v>34</v>
      </c>
      <c r="D71" s="7" t="s">
        <v>35</v>
      </c>
      <c r="E71" s="3" t="s">
        <v>36</v>
      </c>
    </row>
    <row r="72" customFormat="false" ht="15" hidden="false" customHeight="false" outlineLevel="0" collapsed="false">
      <c r="A72" s="8" t="s">
        <v>15</v>
      </c>
      <c r="B72" s="12" t="n">
        <v>1</v>
      </c>
      <c r="C72" s="0" t="n">
        <v>64123</v>
      </c>
      <c r="D72" s="24" t="n">
        <v>0.946</v>
      </c>
      <c r="E72" s="25" t="n">
        <f aca="false">1-Dati_OPTN!$D72</f>
        <v>0.0540000000000001</v>
      </c>
    </row>
    <row r="73" customFormat="false" ht="15" hidden="false" customHeight="false" outlineLevel="0" collapsed="false">
      <c r="A73" s="8"/>
      <c r="B73" s="12" t="n">
        <v>3</v>
      </c>
      <c r="C73" s="0" t="n">
        <v>56240</v>
      </c>
      <c r="D73" s="24" t="n">
        <v>0.878</v>
      </c>
      <c r="E73" s="25" t="n">
        <f aca="false">1-Dati_OPTN!$D73</f>
        <v>0.122</v>
      </c>
    </row>
    <row r="74" customFormat="false" ht="15" hidden="false" customHeight="false" outlineLevel="0" collapsed="false">
      <c r="A74" s="8"/>
      <c r="B74" s="12" t="n">
        <v>5</v>
      </c>
      <c r="C74" s="0" t="n">
        <v>47638</v>
      </c>
      <c r="D74" s="24" t="n">
        <v>0.78675</v>
      </c>
      <c r="E74" s="25" t="n">
        <f aca="false">1-Dati_OPTN!$D74</f>
        <v>0.21325</v>
      </c>
    </row>
    <row r="75" customFormat="false" ht="15" hidden="false" customHeight="false" outlineLevel="0" collapsed="false">
      <c r="A75" s="8" t="s">
        <v>23</v>
      </c>
      <c r="B75" s="12" t="n">
        <v>1</v>
      </c>
      <c r="C75" s="0" t="n">
        <v>28779</v>
      </c>
      <c r="D75" s="24" t="n">
        <v>0.946</v>
      </c>
      <c r="E75" s="25" t="n">
        <f aca="false">1-Dati_OPTN!$D75</f>
        <v>0.0540000000000001</v>
      </c>
    </row>
    <row r="76" customFormat="false" ht="15" hidden="false" customHeight="false" outlineLevel="0" collapsed="false">
      <c r="A76" s="8"/>
      <c r="B76" s="12" t="n">
        <v>3</v>
      </c>
      <c r="C76" s="0" t="n">
        <v>25312</v>
      </c>
      <c r="D76" s="24" t="n">
        <v>0.876</v>
      </c>
      <c r="E76" s="25" t="n">
        <f aca="false">1-Dati_OPTN!$D76</f>
        <v>0.124</v>
      </c>
    </row>
    <row r="77" customFormat="false" ht="15" hidden="false" customHeight="false" outlineLevel="0" collapsed="false">
      <c r="A77" s="8"/>
      <c r="B77" s="12" t="n">
        <v>5</v>
      </c>
      <c r="C77" s="0" t="n">
        <v>21429</v>
      </c>
      <c r="D77" s="24" t="n">
        <v>0.785</v>
      </c>
      <c r="E77" s="25" t="n">
        <f aca="false">1-Dati_OPTN!$D77</f>
        <v>0.215</v>
      </c>
    </row>
    <row r="78" customFormat="false" ht="15" hidden="false" customHeight="false" outlineLevel="0" collapsed="false">
      <c r="A78" s="8" t="s">
        <v>24</v>
      </c>
      <c r="B78" s="12" t="n">
        <v>1</v>
      </c>
      <c r="C78" s="0" t="n">
        <v>23687</v>
      </c>
      <c r="D78" s="24" t="n">
        <v>0.947</v>
      </c>
      <c r="E78" s="25" t="n">
        <f aca="false">1-Dati_OPTN!$D78</f>
        <v>0.053</v>
      </c>
    </row>
    <row r="79" customFormat="false" ht="15" hidden="false" customHeight="false" outlineLevel="0" collapsed="false">
      <c r="A79" s="8"/>
      <c r="B79" s="12" t="n">
        <v>3</v>
      </c>
      <c r="C79" s="0" t="n">
        <v>20747</v>
      </c>
      <c r="D79" s="24" t="n">
        <v>0.878</v>
      </c>
      <c r="E79" s="25" t="n">
        <f aca="false">1-Dati_OPTN!$D79</f>
        <v>0.122</v>
      </c>
    </row>
    <row r="80" customFormat="false" ht="15" hidden="false" customHeight="false" outlineLevel="0" collapsed="false">
      <c r="A80" s="8"/>
      <c r="B80" s="12" t="n">
        <v>5</v>
      </c>
      <c r="C80" s="0" t="n">
        <v>17602</v>
      </c>
      <c r="D80" s="24" t="n">
        <v>0.785</v>
      </c>
      <c r="E80" s="25" t="n">
        <f aca="false">1-Dati_OPTN!$D80</f>
        <v>0.215</v>
      </c>
    </row>
    <row r="81" customFormat="false" ht="15" hidden="false" customHeight="false" outlineLevel="0" collapsed="false">
      <c r="A81" s="8" t="s">
        <v>25</v>
      </c>
      <c r="B81" s="12" t="n">
        <v>1</v>
      </c>
      <c r="C81" s="0" t="n">
        <v>8436</v>
      </c>
      <c r="D81" s="24" t="n">
        <v>0.944</v>
      </c>
      <c r="E81" s="25" t="n">
        <f aca="false">1-Dati_OPTN!$D81</f>
        <v>0.0560000000000001</v>
      </c>
    </row>
    <row r="82" customFormat="false" ht="15" hidden="false" customHeight="false" outlineLevel="0" collapsed="false">
      <c r="A82" s="8"/>
      <c r="B82" s="12" t="n">
        <v>3</v>
      </c>
      <c r="C82" s="0" t="n">
        <v>7380</v>
      </c>
      <c r="D82" s="24" t="n">
        <v>0.876</v>
      </c>
      <c r="E82" s="25" t="n">
        <f aca="false">1-Dati_OPTN!$D82</f>
        <v>0.124</v>
      </c>
    </row>
    <row r="83" customFormat="false" ht="15" hidden="false" customHeight="false" outlineLevel="0" collapsed="false">
      <c r="A83" s="8"/>
      <c r="B83" s="12" t="n">
        <v>5</v>
      </c>
      <c r="C83" s="0" t="n">
        <v>6279</v>
      </c>
      <c r="D83" s="24" t="n">
        <v>0.776</v>
      </c>
      <c r="E83" s="25" t="n">
        <f aca="false">1-Dati_OPTN!$D83</f>
        <v>0.224</v>
      </c>
    </row>
    <row r="84" customFormat="false" ht="15" hidden="false" customHeight="false" outlineLevel="0" collapsed="false">
      <c r="A84" s="8" t="s">
        <v>26</v>
      </c>
      <c r="B84" s="12" t="n">
        <v>1</v>
      </c>
      <c r="C84" s="0" t="n">
        <v>3221</v>
      </c>
      <c r="D84" s="24" t="n">
        <v>0.947</v>
      </c>
      <c r="E84" s="25" t="n">
        <f aca="false">1-Dati_OPTN!$D84</f>
        <v>0.053</v>
      </c>
    </row>
    <row r="85" customFormat="false" ht="15" hidden="false" customHeight="false" outlineLevel="0" collapsed="false">
      <c r="A85" s="8"/>
      <c r="B85" s="12" t="n">
        <v>3</v>
      </c>
      <c r="C85" s="0" t="n">
        <v>2801</v>
      </c>
      <c r="D85" s="24" t="n">
        <v>0.882</v>
      </c>
      <c r="E85" s="25" t="n">
        <f aca="false">1-Dati_OPTN!$D85</f>
        <v>0.118</v>
      </c>
    </row>
    <row r="86" customFormat="false" ht="15" hidden="false" customHeight="false" outlineLevel="0" collapsed="false">
      <c r="A86" s="16"/>
      <c r="B86" s="17" t="n">
        <v>5</v>
      </c>
      <c r="C86" s="21" t="n">
        <v>2328</v>
      </c>
      <c r="D86" s="26" t="n">
        <v>0.801</v>
      </c>
      <c r="E86" s="27" t="n">
        <f aca="false">1-Dati_OPTN!$D86</f>
        <v>0.199</v>
      </c>
    </row>
  </sheetData>
  <mergeCells count="7">
    <mergeCell ref="A1:L1"/>
    <mergeCell ref="N1:Y1"/>
    <mergeCell ref="A24:L24"/>
    <mergeCell ref="N24:Y24"/>
    <mergeCell ref="A47:L47"/>
    <mergeCell ref="N47:Y47"/>
    <mergeCell ref="A70:E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3" activeCellId="0" sqref="L3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6.14"/>
    <col collapsed="false" customWidth="true" hidden="false" outlineLevel="0" max="3" min="3" style="0" width="15.15"/>
    <col collapsed="false" customWidth="true" hidden="false" outlineLevel="0" max="4" min="4" style="0" width="15.88"/>
    <col collapsed="false" customWidth="true" hidden="false" outlineLevel="0" max="5" min="5" style="0" width="5.01"/>
    <col collapsed="false" customWidth="true" hidden="false" outlineLevel="0" max="6" min="6" style="0" width="11.99"/>
    <col collapsed="false" customWidth="true" hidden="false" outlineLevel="0" max="7" min="7" style="0" width="17.4"/>
    <col collapsed="false" customWidth="true" hidden="false" outlineLevel="0" max="8" min="8" style="0" width="12.42"/>
    <col collapsed="false" customWidth="true" hidden="false" outlineLevel="0" max="9" min="9" style="0" width="5.01"/>
    <col collapsed="false" customWidth="true" hidden="false" outlineLevel="0" max="11" min="11" style="0" width="18.58"/>
    <col collapsed="false" customWidth="true" hidden="false" outlineLevel="0" max="12" min="12" style="0" width="14.15"/>
    <col collapsed="false" customWidth="true" hidden="false" outlineLevel="0" max="13" min="13" style="0" width="13.57"/>
  </cols>
  <sheetData>
    <row r="1" customFormat="false" ht="15" hidden="false" customHeight="false" outlineLevel="0" collapsed="false">
      <c r="A1" s="28" t="s">
        <v>37</v>
      </c>
      <c r="B1" s="28"/>
      <c r="C1" s="28"/>
      <c r="D1" s="28"/>
      <c r="F1" s="28" t="s">
        <v>38</v>
      </c>
      <c r="G1" s="28"/>
      <c r="H1" s="28"/>
      <c r="I1" s="29"/>
      <c r="J1" s="28" t="s">
        <v>39</v>
      </c>
      <c r="K1" s="28"/>
      <c r="L1" s="28"/>
      <c r="M1" s="28"/>
    </row>
    <row r="2" customFormat="false" ht="15" hidden="false" customHeight="false" outlineLevel="0" collapsed="false">
      <c r="A2" s="30" t="s">
        <v>2</v>
      </c>
      <c r="B2" s="31" t="s">
        <v>3</v>
      </c>
      <c r="C2" s="32" t="s">
        <v>40</v>
      </c>
      <c r="D2" s="31" t="s">
        <v>41</v>
      </c>
      <c r="F2" s="30" t="s">
        <v>2</v>
      </c>
      <c r="G2" s="31" t="s">
        <v>3</v>
      </c>
      <c r="H2" s="31" t="s">
        <v>41</v>
      </c>
      <c r="I2" s="29"/>
      <c r="J2" s="30" t="s">
        <v>2</v>
      </c>
      <c r="K2" s="31" t="s">
        <v>3</v>
      </c>
      <c r="L2" s="32" t="s">
        <v>40</v>
      </c>
      <c r="M2" s="31" t="s">
        <v>41</v>
      </c>
    </row>
    <row r="3" customFormat="false" ht="15" hidden="false" customHeight="false" outlineLevel="0" collapsed="false">
      <c r="A3" s="33" t="s">
        <v>15</v>
      </c>
      <c r="B3" s="34" t="s">
        <v>16</v>
      </c>
      <c r="C3" s="35" t="n">
        <f aca="false">AVERAGE(Dati_OPTN!C3:H3)</f>
        <v>37393</v>
      </c>
      <c r="D3" s="36" t="n">
        <f aca="false">Arrivi!$C3/365</f>
        <v>102.446575342466</v>
      </c>
      <c r="F3" s="33" t="s">
        <v>15</v>
      </c>
      <c r="G3" s="34" t="s">
        <v>16</v>
      </c>
      <c r="H3" s="36" t="n">
        <f aca="false">Dati_OPTN!C3/365</f>
        <v>113.783561643836</v>
      </c>
      <c r="I3" s="35"/>
      <c r="J3" s="33" t="s">
        <v>15</v>
      </c>
      <c r="K3" s="34" t="s">
        <v>16</v>
      </c>
      <c r="L3" s="37" t="n">
        <f aca="false">AVERAGE(Dati_OPTN!C3:L3)</f>
        <v>36519.4</v>
      </c>
      <c r="M3" s="38" t="n">
        <f aca="false">Arrivi!L3/365</f>
        <v>100.053150684932</v>
      </c>
    </row>
    <row r="4" customFormat="false" ht="15" hidden="false" customHeight="false" outlineLevel="0" collapsed="false">
      <c r="A4" s="33"/>
      <c r="B4" s="34" t="s">
        <v>18</v>
      </c>
      <c r="C4" s="35" t="n">
        <f aca="false">AVERAGE(Dati_OPTN!C4:H4)</f>
        <v>37.3333333333333</v>
      </c>
      <c r="D4" s="36" t="n">
        <f aca="false">Arrivi!$C4/365</f>
        <v>0.102283105022831</v>
      </c>
      <c r="F4" s="8"/>
      <c r="G4" s="34" t="s">
        <v>18</v>
      </c>
      <c r="H4" s="36" t="n">
        <f aca="false">Dati_OPTN!C4/365</f>
        <v>0.112328767123288</v>
      </c>
      <c r="I4" s="35"/>
      <c r="J4" s="33"/>
      <c r="K4" s="34" t="s">
        <v>18</v>
      </c>
      <c r="L4" s="39" t="n">
        <f aca="false">AVERAGE(Dati_OPTN!C4:L4)</f>
        <v>34.4</v>
      </c>
      <c r="M4" s="36" t="n">
        <f aca="false">Arrivi!L4/365</f>
        <v>0.0942465753424657</v>
      </c>
    </row>
    <row r="5" customFormat="false" ht="15" hidden="false" customHeight="false" outlineLevel="0" collapsed="false">
      <c r="A5" s="33"/>
      <c r="B5" s="34" t="s">
        <v>20</v>
      </c>
      <c r="C5" s="35" t="n">
        <f aca="false">AVERAGE(Dati_OPTN!C5:H5)</f>
        <v>28004.8333333333</v>
      </c>
      <c r="D5" s="36" t="n">
        <f aca="false">Arrivi!$C5/365</f>
        <v>76.7255707762557</v>
      </c>
      <c r="F5" s="8"/>
      <c r="G5" s="34" t="s">
        <v>20</v>
      </c>
      <c r="H5" s="36" t="n">
        <f aca="false">Dati_OPTN!C5/365</f>
        <v>85.3287671232877</v>
      </c>
      <c r="I5" s="35"/>
      <c r="J5" s="33"/>
      <c r="K5" s="34" t="s">
        <v>20</v>
      </c>
      <c r="L5" s="39" t="n">
        <f aca="false">AVERAGE(Dati_OPTN!C5:L5)</f>
        <v>26514.3</v>
      </c>
      <c r="M5" s="36" t="n">
        <f aca="false">Arrivi!L5/365</f>
        <v>72.6419178082192</v>
      </c>
    </row>
    <row r="6" customFormat="false" ht="15" hidden="false" customHeight="false" outlineLevel="0" collapsed="false">
      <c r="A6" s="33"/>
      <c r="B6" s="34" t="s">
        <v>22</v>
      </c>
      <c r="C6" s="35" t="n">
        <f aca="false">AVERAGE(Dati_OPTN!C6:H6)</f>
        <v>9350.83333333333</v>
      </c>
      <c r="D6" s="36" t="n">
        <f aca="false">Arrivi!$C6/365</f>
        <v>25.6187214611872</v>
      </c>
      <c r="F6" s="8"/>
      <c r="G6" s="34" t="s">
        <v>22</v>
      </c>
      <c r="H6" s="36" t="n">
        <f aca="false">Dati_OPTN!C6/365</f>
        <v>28.3424657534247</v>
      </c>
      <c r="I6" s="35"/>
      <c r="J6" s="33"/>
      <c r="K6" s="34" t="s">
        <v>22</v>
      </c>
      <c r="L6" s="39" t="n">
        <f aca="false">AVERAGE(Dati_OPTN!C6:L6)</f>
        <v>9970.7</v>
      </c>
      <c r="M6" s="36" t="n">
        <f aca="false">Arrivi!L6/365</f>
        <v>27.3169863013699</v>
      </c>
    </row>
    <row r="7" customFormat="false" ht="15" hidden="false" customHeight="false" outlineLevel="0" collapsed="false">
      <c r="A7" s="33" t="s">
        <v>23</v>
      </c>
      <c r="B7" s="34" t="s">
        <v>16</v>
      </c>
      <c r="C7" s="35" t="n">
        <f aca="false">AVERAGE(Dati_OPTN!C7:H7)</f>
        <v>18237.3333333333</v>
      </c>
      <c r="D7" s="36" t="n">
        <f aca="false">Arrivi!$C7/365</f>
        <v>49.965296803653</v>
      </c>
      <c r="F7" s="33" t="s">
        <v>23</v>
      </c>
      <c r="G7" s="34" t="s">
        <v>16</v>
      </c>
      <c r="H7" s="36" t="n">
        <f aca="false">Dati_OPTN!C7/365</f>
        <v>55.7205479452055</v>
      </c>
      <c r="I7" s="35"/>
      <c r="J7" s="33" t="s">
        <v>23</v>
      </c>
      <c r="K7" s="34" t="s">
        <v>16</v>
      </c>
      <c r="L7" s="39" t="n">
        <f aca="false">AVERAGE(Dati_OPTN!C7:L7)</f>
        <v>17771.8</v>
      </c>
      <c r="M7" s="36" t="n">
        <f aca="false">Arrivi!L7/365</f>
        <v>48.6898630136986</v>
      </c>
    </row>
    <row r="8" customFormat="false" ht="15" hidden="false" customHeight="false" outlineLevel="0" collapsed="false">
      <c r="A8" s="33"/>
      <c r="B8" s="34" t="s">
        <v>18</v>
      </c>
      <c r="C8" s="35" t="n">
        <f aca="false">AVERAGE(Dati_OPTN!C8:H8)</f>
        <v>19</v>
      </c>
      <c r="D8" s="36" t="n">
        <f aca="false">Arrivi!$C8/365</f>
        <v>0.052054794520548</v>
      </c>
      <c r="F8" s="8"/>
      <c r="G8" s="34" t="s">
        <v>18</v>
      </c>
      <c r="H8" s="36" t="n">
        <f aca="false">Dati_OPTN!C8/365</f>
        <v>0.052054794520548</v>
      </c>
      <c r="I8" s="35"/>
      <c r="J8" s="33"/>
      <c r="K8" s="34" t="s">
        <v>18</v>
      </c>
      <c r="L8" s="39" t="n">
        <f aca="false">AVERAGE(Dati_OPTN!C8:L8)</f>
        <v>17.9</v>
      </c>
      <c r="M8" s="36" t="n">
        <f aca="false">Arrivi!L8/365</f>
        <v>0.049041095890411</v>
      </c>
    </row>
    <row r="9" customFormat="false" ht="15" hidden="false" customHeight="false" outlineLevel="0" collapsed="false">
      <c r="A9" s="33"/>
      <c r="B9" s="34" t="s">
        <v>20</v>
      </c>
      <c r="C9" s="35" t="n">
        <f aca="false">AVERAGE(Dati_OPTN!C9:H9)</f>
        <v>13753.3333333333</v>
      </c>
      <c r="D9" s="36" t="n">
        <f aca="false">Arrivi!$C9/365</f>
        <v>37.6803652968037</v>
      </c>
      <c r="F9" s="8"/>
      <c r="G9" s="34" t="s">
        <v>20</v>
      </c>
      <c r="H9" s="36" t="n">
        <f aca="false">Dati_OPTN!C9/365</f>
        <v>42.1424657534247</v>
      </c>
      <c r="I9" s="35"/>
      <c r="J9" s="33"/>
      <c r="K9" s="34" t="s">
        <v>20</v>
      </c>
      <c r="L9" s="39" t="n">
        <f aca="false">AVERAGE(Dati_OPTN!C9:L9)</f>
        <v>12975.9</v>
      </c>
      <c r="M9" s="36" t="n">
        <f aca="false">Arrivi!L9/365</f>
        <v>35.5504109589041</v>
      </c>
    </row>
    <row r="10" customFormat="false" ht="15" hidden="false" customHeight="false" outlineLevel="0" collapsed="false">
      <c r="A10" s="33"/>
      <c r="B10" s="34" t="s">
        <v>22</v>
      </c>
      <c r="C10" s="35" t="n">
        <f aca="false">AVERAGE(Dati_OPTN!C10:H10)</f>
        <v>4465</v>
      </c>
      <c r="D10" s="36" t="n">
        <f aca="false">Arrivi!$C10/365</f>
        <v>12.2328767123288</v>
      </c>
      <c r="F10" s="8"/>
      <c r="G10" s="34" t="s">
        <v>22</v>
      </c>
      <c r="H10" s="36" t="n">
        <f aca="false">Dati_OPTN!C10/365</f>
        <v>13.5260273972603</v>
      </c>
      <c r="I10" s="35"/>
      <c r="J10" s="33"/>
      <c r="K10" s="34" t="s">
        <v>22</v>
      </c>
      <c r="L10" s="39" t="n">
        <f aca="false">AVERAGE(Dati_OPTN!C10:L10)</f>
        <v>4778</v>
      </c>
      <c r="M10" s="36" t="n">
        <f aca="false">Arrivi!L10/365</f>
        <v>13.0904109589041</v>
      </c>
    </row>
    <row r="11" customFormat="false" ht="15" hidden="false" customHeight="false" outlineLevel="0" collapsed="false">
      <c r="A11" s="33" t="s">
        <v>24</v>
      </c>
      <c r="B11" s="34" t="s">
        <v>16</v>
      </c>
      <c r="C11" s="35" t="n">
        <f aca="false">AVERAGE(Dati_OPTN!C11:H11)</f>
        <v>12168.1666666667</v>
      </c>
      <c r="D11" s="36" t="n">
        <f aca="false">Arrivi!$C11/365</f>
        <v>33.3374429223744</v>
      </c>
      <c r="F11" s="33" t="s">
        <v>24</v>
      </c>
      <c r="G11" s="34" t="s">
        <v>16</v>
      </c>
      <c r="H11" s="36" t="n">
        <f aca="false">Dati_OPTN!C11/365</f>
        <v>36.8602739726027</v>
      </c>
      <c r="I11" s="35"/>
      <c r="J11" s="33" t="s">
        <v>24</v>
      </c>
      <c r="K11" s="34" t="s">
        <v>16</v>
      </c>
      <c r="L11" s="39" t="n">
        <f aca="false">AVERAGE(Dati_OPTN!C11:L11)</f>
        <v>11951.8</v>
      </c>
      <c r="M11" s="36" t="n">
        <f aca="false">Arrivi!L11/365</f>
        <v>32.7446575342466</v>
      </c>
    </row>
    <row r="12" customFormat="false" ht="15" hidden="false" customHeight="false" outlineLevel="0" collapsed="false">
      <c r="A12" s="33"/>
      <c r="B12" s="34" t="s">
        <v>18</v>
      </c>
      <c r="C12" s="35" t="n">
        <f aca="false">AVERAGE(Dati_OPTN!C12:H12)</f>
        <v>10.6666666666667</v>
      </c>
      <c r="D12" s="36" t="n">
        <f aca="false">Arrivi!$C12/365</f>
        <v>0.0292237442922374</v>
      </c>
      <c r="F12" s="33"/>
      <c r="G12" s="34" t="s">
        <v>18</v>
      </c>
      <c r="H12" s="36" t="n">
        <f aca="false">Dati_OPTN!C12/365</f>
        <v>0.0273972602739726</v>
      </c>
      <c r="I12" s="35"/>
      <c r="J12" s="33"/>
      <c r="K12" s="34" t="s">
        <v>18</v>
      </c>
      <c r="L12" s="39" t="n">
        <f aca="false">AVERAGE(Dati_OPTN!C12:L12)</f>
        <v>10</v>
      </c>
      <c r="M12" s="36" t="n">
        <f aca="false">Arrivi!L12/365</f>
        <v>0.0273972602739726</v>
      </c>
    </row>
    <row r="13" customFormat="false" ht="15" hidden="false" customHeight="false" outlineLevel="0" collapsed="false">
      <c r="A13" s="33"/>
      <c r="B13" s="34" t="s">
        <v>20</v>
      </c>
      <c r="C13" s="35" t="n">
        <f aca="false">AVERAGE(Dati_OPTN!C13:H13)</f>
        <v>9003.16666666667</v>
      </c>
      <c r="D13" s="36" t="n">
        <f aca="false">Arrivi!$C13/365</f>
        <v>24.6662100456621</v>
      </c>
      <c r="F13" s="8"/>
      <c r="G13" s="34" t="s">
        <v>20</v>
      </c>
      <c r="H13" s="36" t="n">
        <f aca="false">Dati_OPTN!C13/365</f>
        <v>27.1643835616438</v>
      </c>
      <c r="I13" s="35"/>
      <c r="J13" s="33"/>
      <c r="K13" s="34" t="s">
        <v>20</v>
      </c>
      <c r="L13" s="39" t="n">
        <f aca="false">AVERAGE(Dati_OPTN!C13:L13)</f>
        <v>8612.8</v>
      </c>
      <c r="M13" s="36" t="n">
        <f aca="false">Arrivi!L13/365</f>
        <v>23.5967123287671</v>
      </c>
    </row>
    <row r="14" customFormat="false" ht="15" hidden="false" customHeight="false" outlineLevel="0" collapsed="false">
      <c r="A14" s="33"/>
      <c r="B14" s="34" t="s">
        <v>22</v>
      </c>
      <c r="C14" s="35" t="n">
        <f aca="false">AVERAGE(Dati_OPTN!C14:H14)</f>
        <v>3154.33333333333</v>
      </c>
      <c r="D14" s="36" t="n">
        <f aca="false">Arrivi!$C14/365</f>
        <v>8.64200913242009</v>
      </c>
      <c r="F14" s="8"/>
      <c r="G14" s="34" t="s">
        <v>22</v>
      </c>
      <c r="H14" s="36" t="n">
        <f aca="false">Dati_OPTN!C14/365</f>
        <v>9.66849315068493</v>
      </c>
      <c r="I14" s="35"/>
      <c r="J14" s="33"/>
      <c r="K14" s="34" t="s">
        <v>22</v>
      </c>
      <c r="L14" s="39" t="n">
        <f aca="false">AVERAGE(Dati_OPTN!C14:L14)</f>
        <v>3329</v>
      </c>
      <c r="M14" s="36" t="n">
        <f aca="false">Arrivi!L14/365</f>
        <v>9.12054794520548</v>
      </c>
    </row>
    <row r="15" customFormat="false" ht="15" hidden="false" customHeight="false" outlineLevel="0" collapsed="false">
      <c r="A15" s="33" t="s">
        <v>25</v>
      </c>
      <c r="B15" s="34" t="s">
        <v>16</v>
      </c>
      <c r="C15" s="35" t="n">
        <f aca="false">AVERAGE(Dati_OPTN!C15:H15)</f>
        <v>5563.5</v>
      </c>
      <c r="D15" s="36" t="n">
        <f aca="false">Arrivi!$C15/365</f>
        <v>15.2424657534247</v>
      </c>
      <c r="F15" s="33" t="s">
        <v>25</v>
      </c>
      <c r="G15" s="34" t="s">
        <v>16</v>
      </c>
      <c r="H15" s="36" t="n">
        <f aca="false">Dati_OPTN!C15/365</f>
        <v>16.8438356164384</v>
      </c>
      <c r="I15" s="35"/>
      <c r="J15" s="33" t="s">
        <v>25</v>
      </c>
      <c r="K15" s="34" t="s">
        <v>16</v>
      </c>
      <c r="L15" s="39" t="n">
        <f aca="false">AVERAGE(Dati_OPTN!C15:L15)</f>
        <v>5403.9</v>
      </c>
      <c r="M15" s="36" t="n">
        <f aca="false">Arrivi!L15/365</f>
        <v>14.8052054794521</v>
      </c>
    </row>
    <row r="16" customFormat="false" ht="15" hidden="false" customHeight="false" outlineLevel="0" collapsed="false">
      <c r="A16" s="33"/>
      <c r="B16" s="34" t="s">
        <v>18</v>
      </c>
      <c r="C16" s="35" t="n">
        <f aca="false">AVERAGE(Dati_OPTN!C16:H16)</f>
        <v>6</v>
      </c>
      <c r="D16" s="36" t="n">
        <f aca="false">Arrivi!$C16/365</f>
        <v>0.0164383561643836</v>
      </c>
      <c r="F16" s="8"/>
      <c r="G16" s="34" t="s">
        <v>18</v>
      </c>
      <c r="H16" s="36" t="n">
        <f aca="false">Dati_OPTN!C16/365</f>
        <v>0.0273972602739726</v>
      </c>
      <c r="I16" s="35"/>
      <c r="J16" s="33"/>
      <c r="K16" s="34" t="s">
        <v>18</v>
      </c>
      <c r="L16" s="39" t="n">
        <f aca="false">AVERAGE(Dati_OPTN!C16:L16)</f>
        <v>5</v>
      </c>
      <c r="M16" s="36" t="n">
        <f aca="false">Arrivi!L16/365</f>
        <v>0.0136986301369863</v>
      </c>
    </row>
    <row r="17" customFormat="false" ht="15" hidden="false" customHeight="false" outlineLevel="0" collapsed="false">
      <c r="A17" s="33"/>
      <c r="B17" s="34" t="s">
        <v>20</v>
      </c>
      <c r="C17" s="35" t="n">
        <f aca="false">AVERAGE(Dati_OPTN!C17:H17)</f>
        <v>4198</v>
      </c>
      <c r="D17" s="36" t="n">
        <f aca="false">Arrivi!$C17/365</f>
        <v>11.5013698630137</v>
      </c>
      <c r="F17" s="8"/>
      <c r="G17" s="34" t="s">
        <v>20</v>
      </c>
      <c r="H17" s="36" t="n">
        <f aca="false">Dati_OPTN!C17/365</f>
        <v>12.8465753424658</v>
      </c>
      <c r="I17" s="35"/>
      <c r="J17" s="33"/>
      <c r="K17" s="34" t="s">
        <v>20</v>
      </c>
      <c r="L17" s="39" t="n">
        <f aca="false">AVERAGE(Dati_OPTN!C17:L17)</f>
        <v>3934.4</v>
      </c>
      <c r="M17" s="36" t="n">
        <f aca="false">Arrivi!L17/365</f>
        <v>10.7791780821918</v>
      </c>
    </row>
    <row r="18" customFormat="false" ht="15" hidden="false" customHeight="false" outlineLevel="0" collapsed="false">
      <c r="A18" s="33"/>
      <c r="B18" s="34" t="s">
        <v>22</v>
      </c>
      <c r="C18" s="35" t="n">
        <f aca="false">AVERAGE(Dati_OPTN!C18:H18)</f>
        <v>1359.5</v>
      </c>
      <c r="D18" s="36" t="n">
        <f aca="false">Arrivi!$C18/365</f>
        <v>3.72465753424658</v>
      </c>
      <c r="F18" s="8"/>
      <c r="G18" s="34" t="s">
        <v>22</v>
      </c>
      <c r="H18" s="36" t="n">
        <f aca="false">Dati_OPTN!C18/365</f>
        <v>3.96986301369863</v>
      </c>
      <c r="I18" s="35"/>
      <c r="J18" s="33"/>
      <c r="K18" s="34" t="s">
        <v>22</v>
      </c>
      <c r="L18" s="39" t="n">
        <f aca="false">AVERAGE(Dati_OPTN!C18:L18)</f>
        <v>1464.5</v>
      </c>
      <c r="M18" s="36" t="n">
        <f aca="false">Arrivi!L18/365</f>
        <v>4.01232876712329</v>
      </c>
    </row>
    <row r="19" customFormat="false" ht="15" hidden="false" customHeight="false" outlineLevel="0" collapsed="false">
      <c r="A19" s="33" t="s">
        <v>26</v>
      </c>
      <c r="B19" s="34" t="s">
        <v>16</v>
      </c>
      <c r="C19" s="35" t="n">
        <f aca="false">AVERAGE(Dati_OPTN!C19:H19)</f>
        <v>1424.83333333333</v>
      </c>
      <c r="D19" s="36" t="n">
        <f aca="false">Arrivi!$C19/365</f>
        <v>3.90365296803653</v>
      </c>
      <c r="F19" s="33" t="s">
        <v>26</v>
      </c>
      <c r="G19" s="34" t="s">
        <v>16</v>
      </c>
      <c r="H19" s="36" t="n">
        <f aca="false">Dati_OPTN!C19/365</f>
        <v>4.36164383561644</v>
      </c>
      <c r="I19" s="35"/>
      <c r="J19" s="33" t="s">
        <v>26</v>
      </c>
      <c r="K19" s="34" t="s">
        <v>16</v>
      </c>
      <c r="L19" s="39" t="n">
        <f aca="false">AVERAGE(Dati_OPTN!C19:L19)</f>
        <v>1392.7</v>
      </c>
      <c r="M19" s="36" t="n">
        <f aca="false">Arrivi!L19/365</f>
        <v>3.81561643835616</v>
      </c>
    </row>
    <row r="20" customFormat="false" ht="15" hidden="false" customHeight="false" outlineLevel="0" collapsed="false">
      <c r="A20" s="33"/>
      <c r="B20" s="34" t="s">
        <v>18</v>
      </c>
      <c r="C20" s="35" t="n">
        <f aca="false">AVERAGE(Dati_OPTN!C20:H20)</f>
        <v>1.66666666666667</v>
      </c>
      <c r="D20" s="36" t="n">
        <f aca="false">Arrivi!$C20/365</f>
        <v>0.0045662100456621</v>
      </c>
      <c r="F20" s="8"/>
      <c r="G20" s="34" t="s">
        <v>18</v>
      </c>
      <c r="H20" s="36" t="n">
        <f aca="false">Dati_OPTN!C20/365</f>
        <v>0.00547945205479452</v>
      </c>
      <c r="I20" s="35"/>
      <c r="J20" s="33"/>
      <c r="K20" s="34" t="s">
        <v>18</v>
      </c>
      <c r="L20" s="39" t="n">
        <f aca="false">AVERAGE(Dati_OPTN!C20:L20)</f>
        <v>1.5</v>
      </c>
      <c r="M20" s="36" t="n">
        <f aca="false">Arrivi!L20/365</f>
        <v>0.00410958904109589</v>
      </c>
    </row>
    <row r="21" customFormat="false" ht="15" hidden="false" customHeight="false" outlineLevel="0" collapsed="false">
      <c r="A21" s="33"/>
      <c r="B21" s="34" t="s">
        <v>20</v>
      </c>
      <c r="C21" s="35" t="n">
        <f aca="false">AVERAGE(Dati_OPTN!C21:H21)</f>
        <v>1051.16666666667</v>
      </c>
      <c r="D21" s="36" t="n">
        <f aca="false">Arrivi!$C21/365</f>
        <v>2.87990867579909</v>
      </c>
      <c r="F21" s="8"/>
      <c r="G21" s="34" t="s">
        <v>20</v>
      </c>
      <c r="H21" s="36" t="n">
        <f aca="false">Dati_OPTN!C21/365</f>
        <v>3.17808219178082</v>
      </c>
      <c r="I21" s="35"/>
      <c r="J21" s="33"/>
      <c r="K21" s="34" t="s">
        <v>20</v>
      </c>
      <c r="L21" s="39" t="n">
        <f aca="false">AVERAGE(Dati_OPTN!C21:L21)</f>
        <v>992</v>
      </c>
      <c r="M21" s="36" t="n">
        <f aca="false">Arrivi!L21/365</f>
        <v>2.71780821917808</v>
      </c>
    </row>
    <row r="22" customFormat="false" ht="15" hidden="false" customHeight="false" outlineLevel="0" collapsed="false">
      <c r="A22" s="40"/>
      <c r="B22" s="41" t="s">
        <v>22</v>
      </c>
      <c r="C22" s="42" t="n">
        <f aca="false">AVERAGE(Dati_OPTN!C22:H22)</f>
        <v>372</v>
      </c>
      <c r="D22" s="43" t="n">
        <f aca="false">Arrivi!$C22/365</f>
        <v>1.01917808219178</v>
      </c>
      <c r="F22" s="16"/>
      <c r="G22" s="41" t="s">
        <v>22</v>
      </c>
      <c r="H22" s="43" t="n">
        <f aca="false">Dati_OPTN!C22/365</f>
        <v>1.17808219178082</v>
      </c>
      <c r="I22" s="35"/>
      <c r="J22" s="40"/>
      <c r="K22" s="41" t="s">
        <v>22</v>
      </c>
      <c r="L22" s="44" t="n">
        <f aca="false">AVERAGE(Dati_OPTN!C22:L22)</f>
        <v>399.2</v>
      </c>
      <c r="M22" s="43" t="n">
        <f aca="false">Arrivi!L22/365</f>
        <v>1.09369863013699</v>
      </c>
    </row>
    <row r="23" customFormat="false" ht="15.75" hidden="false" customHeight="false" outlineLevel="0" collapsed="false">
      <c r="A23" s="29"/>
      <c r="B23" s="29"/>
    </row>
    <row r="24" customFormat="false" ht="15" hidden="false" customHeight="false" outlineLevel="0" collapsed="false">
      <c r="A24" s="28" t="s">
        <v>42</v>
      </c>
      <c r="B24" s="28"/>
      <c r="C24" s="28"/>
      <c r="D24" s="28"/>
      <c r="F24" s="28" t="s">
        <v>43</v>
      </c>
      <c r="G24" s="28"/>
      <c r="H24" s="28"/>
      <c r="J24" s="28" t="s">
        <v>44</v>
      </c>
      <c r="K24" s="28"/>
      <c r="L24" s="28"/>
      <c r="M24" s="28"/>
    </row>
    <row r="25" customFormat="false" ht="15" hidden="false" customHeight="false" outlineLevel="0" collapsed="false">
      <c r="A25" s="30" t="s">
        <v>2</v>
      </c>
      <c r="B25" s="31" t="s">
        <v>45</v>
      </c>
      <c r="C25" s="32" t="s">
        <v>46</v>
      </c>
      <c r="D25" s="31" t="s">
        <v>47</v>
      </c>
      <c r="F25" s="30" t="s">
        <v>2</v>
      </c>
      <c r="G25" s="31" t="s">
        <v>45</v>
      </c>
      <c r="H25" s="31" t="s">
        <v>47</v>
      </c>
      <c r="J25" s="30" t="s">
        <v>2</v>
      </c>
      <c r="K25" s="31" t="s">
        <v>45</v>
      </c>
      <c r="L25" s="32" t="s">
        <v>46</v>
      </c>
      <c r="M25" s="31" t="s">
        <v>47</v>
      </c>
    </row>
    <row r="26" customFormat="false" ht="15" hidden="false" customHeight="false" outlineLevel="0" collapsed="false">
      <c r="A26" s="33" t="s">
        <v>15</v>
      </c>
      <c r="B26" s="34" t="s">
        <v>17</v>
      </c>
      <c r="C26" s="35" t="n">
        <f aca="false">AVERAGE(Dati_OPTN!P3:U3)</f>
        <v>15244.1666666667</v>
      </c>
      <c r="D26" s="36" t="n">
        <f aca="false">C26/365</f>
        <v>41.7648401826484</v>
      </c>
      <c r="F26" s="33" t="s">
        <v>15</v>
      </c>
      <c r="G26" s="34" t="s">
        <v>17</v>
      </c>
      <c r="H26" s="36" t="n">
        <f aca="false">Dati_OPTN!P3/365</f>
        <v>49.3643835616438</v>
      </c>
      <c r="J26" s="33" t="s">
        <v>15</v>
      </c>
      <c r="K26" s="34" t="s">
        <v>17</v>
      </c>
      <c r="L26" s="37" t="n">
        <f aca="false">AVERAGE(Dati_OPTN!P3:Y3)</f>
        <v>14451.3</v>
      </c>
      <c r="M26" s="38" t="n">
        <f aca="false">L26/365</f>
        <v>39.592602739726</v>
      </c>
    </row>
    <row r="27" customFormat="false" ht="15" hidden="false" customHeight="false" outlineLevel="0" collapsed="false">
      <c r="A27" s="33"/>
      <c r="B27" s="34" t="s">
        <v>19</v>
      </c>
      <c r="C27" s="35" t="n">
        <f aca="false">AVERAGE(Dati_OPTN!P4:U4)</f>
        <v>9258.16666666667</v>
      </c>
      <c r="D27" s="36" t="n">
        <f aca="false">C27/365</f>
        <v>25.3648401826484</v>
      </c>
      <c r="F27" s="33"/>
      <c r="G27" s="34" t="s">
        <v>19</v>
      </c>
      <c r="H27" s="36" t="n">
        <f aca="false">Dati_OPTN!P4/365</f>
        <v>30.5534246575342</v>
      </c>
      <c r="J27" s="33"/>
      <c r="K27" s="34" t="s">
        <v>19</v>
      </c>
      <c r="L27" s="39" t="n">
        <f aca="false">AVERAGE(Dati_OPTN!P4:Y4)</f>
        <v>8519.3</v>
      </c>
      <c r="M27" s="36" t="n">
        <f aca="false">L27/365</f>
        <v>23.3405479452055</v>
      </c>
    </row>
    <row r="28" customFormat="false" ht="15" hidden="false" customHeight="false" outlineLevel="0" collapsed="false">
      <c r="A28" s="33"/>
      <c r="B28" s="34" t="s">
        <v>21</v>
      </c>
      <c r="C28" s="35" t="n">
        <f aca="false">AVERAGE(Dati_OPTN!P5:U5)</f>
        <v>5986</v>
      </c>
      <c r="D28" s="36" t="n">
        <f aca="false">C28/365</f>
        <v>16.4</v>
      </c>
      <c r="F28" s="33"/>
      <c r="G28" s="34" t="s">
        <v>21</v>
      </c>
      <c r="H28" s="36" t="n">
        <f aca="false">Dati_OPTN!P5/365</f>
        <v>18.8109589041096</v>
      </c>
      <c r="J28" s="33"/>
      <c r="K28" s="34" t="s">
        <v>21</v>
      </c>
      <c r="L28" s="39" t="n">
        <f aca="false">AVERAGE(Dati_OPTN!P5:Y5)</f>
        <v>5932</v>
      </c>
      <c r="M28" s="36" t="n">
        <f aca="false">L28/365</f>
        <v>16.2520547945205</v>
      </c>
    </row>
    <row r="29" customFormat="false" ht="15" hidden="false" customHeight="false" outlineLevel="0" collapsed="false">
      <c r="A29" s="33" t="s">
        <v>23</v>
      </c>
      <c r="B29" s="34" t="s">
        <v>17</v>
      </c>
      <c r="C29" s="35" t="n">
        <f aca="false">AVERAGE(Dati_OPTN!P6:U6)</f>
        <v>8180.33333333333</v>
      </c>
      <c r="D29" s="36" t="n">
        <f aca="false">C29/365</f>
        <v>22.4118721461187</v>
      </c>
      <c r="F29" s="33" t="s">
        <v>23</v>
      </c>
      <c r="G29" s="34" t="s">
        <v>17</v>
      </c>
      <c r="H29" s="36" t="n">
        <f aca="false">Dati_OPTN!P6/365</f>
        <v>26.3698630136986</v>
      </c>
      <c r="J29" s="33" t="s">
        <v>23</v>
      </c>
      <c r="K29" s="34" t="s">
        <v>17</v>
      </c>
      <c r="L29" s="39" t="n">
        <f aca="false">AVERAGE(Dati_OPTN!P6:Y6)</f>
        <v>7803.2</v>
      </c>
      <c r="M29" s="36" t="n">
        <f aca="false">L29/365</f>
        <v>21.3786301369863</v>
      </c>
    </row>
    <row r="30" customFormat="false" ht="15" hidden="false" customHeight="false" outlineLevel="0" collapsed="false">
      <c r="A30" s="33"/>
      <c r="B30" s="34" t="s">
        <v>19</v>
      </c>
      <c r="C30" s="35" t="n">
        <f aca="false">AVERAGE(Dati_OPTN!P7:U7)</f>
        <v>4419</v>
      </c>
      <c r="D30" s="36" t="n">
        <f aca="false">C30/365</f>
        <v>12.1068493150685</v>
      </c>
      <c r="F30" s="33"/>
      <c r="G30" s="34" t="s">
        <v>19</v>
      </c>
      <c r="H30" s="36" t="n">
        <f aca="false">Dati_OPTN!P7/365</f>
        <v>14.5808219178082</v>
      </c>
      <c r="J30" s="33"/>
      <c r="K30" s="34" t="s">
        <v>19</v>
      </c>
      <c r="L30" s="39" t="n">
        <f aca="false">AVERAGE(Dati_OPTN!P7:Y7)</f>
        <v>4060.6</v>
      </c>
      <c r="M30" s="36" t="n">
        <f aca="false">L30/365</f>
        <v>11.1249315068493</v>
      </c>
    </row>
    <row r="31" customFormat="false" ht="15" hidden="false" customHeight="false" outlineLevel="0" collapsed="false">
      <c r="A31" s="33"/>
      <c r="B31" s="34" t="s">
        <v>21</v>
      </c>
      <c r="C31" s="35" t="n">
        <f aca="false">AVERAGE(Dati_OPTN!P8:U8)</f>
        <v>3761.33333333333</v>
      </c>
      <c r="D31" s="36" t="n">
        <f aca="false">C31/365</f>
        <v>10.3050228310502</v>
      </c>
      <c r="F31" s="33"/>
      <c r="G31" s="34" t="s">
        <v>21</v>
      </c>
      <c r="H31" s="36" t="n">
        <f aca="false">Dati_OPTN!P8/365</f>
        <v>11.7890410958904</v>
      </c>
      <c r="J31" s="33"/>
      <c r="K31" s="34" t="s">
        <v>21</v>
      </c>
      <c r="L31" s="39" t="n">
        <f aca="false">AVERAGE(Dati_OPTN!P8:Y8)</f>
        <v>3742.6</v>
      </c>
      <c r="M31" s="36" t="n">
        <f aca="false">L31/365</f>
        <v>10.253698630137</v>
      </c>
    </row>
    <row r="32" customFormat="false" ht="15" hidden="false" customHeight="false" outlineLevel="0" collapsed="false">
      <c r="A32" s="33" t="s">
        <v>24</v>
      </c>
      <c r="B32" s="34" t="s">
        <v>17</v>
      </c>
      <c r="C32" s="35" t="n">
        <f aca="false">AVERAGE(Dati_OPTN!P9:U9)</f>
        <v>5087.5</v>
      </c>
      <c r="D32" s="36" t="n">
        <f aca="false">C32/365</f>
        <v>13.9383561643836</v>
      </c>
      <c r="F32" s="33" t="s">
        <v>24</v>
      </c>
      <c r="G32" s="34" t="s">
        <v>17</v>
      </c>
      <c r="H32" s="36" t="n">
        <f aca="false">Dati_OPTN!P9/365</f>
        <v>16.4821917808219</v>
      </c>
      <c r="J32" s="33" t="s">
        <v>24</v>
      </c>
      <c r="K32" s="34" t="s">
        <v>17</v>
      </c>
      <c r="L32" s="39" t="n">
        <f aca="false">AVERAGE(Dati_OPTN!P9:Y9)</f>
        <v>4778.4</v>
      </c>
      <c r="M32" s="36" t="n">
        <f aca="false">L32/365</f>
        <v>13.0915068493151</v>
      </c>
    </row>
    <row r="33" customFormat="false" ht="15" hidden="false" customHeight="false" outlineLevel="0" collapsed="false">
      <c r="A33" s="33"/>
      <c r="B33" s="34" t="s">
        <v>19</v>
      </c>
      <c r="C33" s="35" t="n">
        <f aca="false">AVERAGE(Dati_OPTN!P10:U10)</f>
        <v>3430.5</v>
      </c>
      <c r="D33" s="36" t="n">
        <f aca="false">C33/365</f>
        <v>9.3986301369863</v>
      </c>
      <c r="F33" s="33"/>
      <c r="G33" s="34" t="s">
        <v>19</v>
      </c>
      <c r="H33" s="36" t="n">
        <f aca="false">Dati_OPTN!P10/365</f>
        <v>11.3068493150685</v>
      </c>
      <c r="J33" s="33"/>
      <c r="K33" s="34" t="s">
        <v>19</v>
      </c>
      <c r="L33" s="39" t="n">
        <f aca="false">AVERAGE(Dati_OPTN!P10:Y10)</f>
        <v>3151.7</v>
      </c>
      <c r="M33" s="36" t="n">
        <f aca="false">L33/365</f>
        <v>8.63479452054795</v>
      </c>
    </row>
    <row r="34" customFormat="false" ht="15" hidden="false" customHeight="false" outlineLevel="0" collapsed="false">
      <c r="A34" s="33"/>
      <c r="B34" s="34" t="s">
        <v>21</v>
      </c>
      <c r="C34" s="35" t="n">
        <f aca="false">AVERAGE(Dati_OPTN!P11:U11)</f>
        <v>1657</v>
      </c>
      <c r="D34" s="36" t="n">
        <f aca="false">C34/365</f>
        <v>4.53972602739726</v>
      </c>
      <c r="F34" s="33"/>
      <c r="G34" s="34" t="s">
        <v>21</v>
      </c>
      <c r="H34" s="36" t="n">
        <f aca="false">Dati_OPTN!P11/365</f>
        <v>5.17534246575343</v>
      </c>
      <c r="J34" s="33"/>
      <c r="K34" s="34" t="s">
        <v>21</v>
      </c>
      <c r="L34" s="39" t="n">
        <f aca="false">AVERAGE(Dati_OPTN!P11:Y11)</f>
        <v>1626.7</v>
      </c>
      <c r="M34" s="36" t="n">
        <f aca="false">L34/365</f>
        <v>4.45671232876712</v>
      </c>
    </row>
    <row r="35" customFormat="false" ht="15" hidden="false" customHeight="false" outlineLevel="0" collapsed="false">
      <c r="A35" s="33" t="s">
        <v>25</v>
      </c>
      <c r="B35" s="34" t="s">
        <v>17</v>
      </c>
      <c r="C35" s="35" t="n">
        <f aca="false">AVERAGE(Dati_OPTN!P12:U12)</f>
        <v>1578.33333333333</v>
      </c>
      <c r="D35" s="36" t="n">
        <f aca="false">C35/365</f>
        <v>4.32420091324201</v>
      </c>
      <c r="F35" s="33" t="s">
        <v>25</v>
      </c>
      <c r="G35" s="34" t="s">
        <v>17</v>
      </c>
      <c r="H35" s="36" t="n">
        <f aca="false">Dati_OPTN!P12/365</f>
        <v>5.13698630136986</v>
      </c>
      <c r="J35" s="33" t="s">
        <v>25</v>
      </c>
      <c r="K35" s="34" t="s">
        <v>17</v>
      </c>
      <c r="L35" s="39" t="n">
        <f aca="false">AVERAGE(Dati_OPTN!P12:Y12)</f>
        <v>1500.9</v>
      </c>
      <c r="M35" s="36" t="n">
        <f aca="false">L35/365</f>
        <v>4.11205479452055</v>
      </c>
    </row>
    <row r="36" customFormat="false" ht="15" hidden="false" customHeight="false" outlineLevel="0" collapsed="false">
      <c r="A36" s="33"/>
      <c r="B36" s="34" t="s">
        <v>19</v>
      </c>
      <c r="C36" s="35" t="n">
        <f aca="false">AVERAGE(Dati_OPTN!P13:U13)</f>
        <v>1090.5</v>
      </c>
      <c r="D36" s="36" t="n">
        <f aca="false">C36/365</f>
        <v>2.98767123287671</v>
      </c>
      <c r="F36" s="33"/>
      <c r="G36" s="34" t="s">
        <v>19</v>
      </c>
      <c r="H36" s="36" t="n">
        <f aca="false">Dati_OPTN!P13/365</f>
        <v>3.5972602739726</v>
      </c>
      <c r="J36" s="33"/>
      <c r="K36" s="34" t="s">
        <v>19</v>
      </c>
      <c r="L36" s="39" t="n">
        <f aca="false">AVERAGE(Dati_OPTN!P13:Y13)</f>
        <v>1013.7</v>
      </c>
      <c r="M36" s="36" t="n">
        <f aca="false">L36/365</f>
        <v>2.7772602739726</v>
      </c>
    </row>
    <row r="37" customFormat="false" ht="15" hidden="false" customHeight="false" outlineLevel="0" collapsed="false">
      <c r="A37" s="33"/>
      <c r="B37" s="34" t="s">
        <v>21</v>
      </c>
      <c r="C37" s="35" t="n">
        <f aca="false">AVERAGE(Dati_OPTN!P14:U14)</f>
        <v>487.833333333333</v>
      </c>
      <c r="D37" s="36" t="n">
        <f aca="false">C37/365</f>
        <v>1.3365296803653</v>
      </c>
      <c r="F37" s="33"/>
      <c r="G37" s="34" t="s">
        <v>21</v>
      </c>
      <c r="H37" s="36" t="n">
        <f aca="false">Dati_OPTN!P14/365</f>
        <v>1.53972602739726</v>
      </c>
      <c r="J37" s="33"/>
      <c r="K37" s="34" t="s">
        <v>21</v>
      </c>
      <c r="L37" s="39" t="n">
        <f aca="false">AVERAGE(Dati_OPTN!P14:Y14)</f>
        <v>487.2</v>
      </c>
      <c r="M37" s="36" t="n">
        <f aca="false">L37/365</f>
        <v>1.33479452054795</v>
      </c>
    </row>
    <row r="38" customFormat="false" ht="15" hidden="false" customHeight="false" outlineLevel="0" collapsed="false">
      <c r="A38" s="33" t="s">
        <v>26</v>
      </c>
      <c r="B38" s="34" t="s">
        <v>17</v>
      </c>
      <c r="C38" s="35" t="n">
        <f aca="false">AVERAGE(Dati_OPTN!P15:U15)</f>
        <v>398</v>
      </c>
      <c r="D38" s="36" t="n">
        <f aca="false">C38/365</f>
        <v>1.09041095890411</v>
      </c>
      <c r="F38" s="33" t="s">
        <v>26</v>
      </c>
      <c r="G38" s="34" t="s">
        <v>17</v>
      </c>
      <c r="H38" s="36" t="n">
        <f aca="false">Dati_OPTN!P15/365</f>
        <v>1.37534246575342</v>
      </c>
      <c r="J38" s="33" t="s">
        <v>26</v>
      </c>
      <c r="K38" s="34" t="s">
        <v>17</v>
      </c>
      <c r="L38" s="39" t="n">
        <f aca="false">AVERAGE(Dati_OPTN!P15:Y15)</f>
        <v>368.8</v>
      </c>
      <c r="M38" s="36" t="n">
        <f aca="false">L38/365</f>
        <v>1.01041095890411</v>
      </c>
    </row>
    <row r="39" customFormat="false" ht="15" hidden="false" customHeight="false" outlineLevel="0" collapsed="false">
      <c r="A39" s="33"/>
      <c r="B39" s="34" t="s">
        <v>19</v>
      </c>
      <c r="C39" s="35" t="n">
        <f aca="false">AVERAGE(Dati_OPTN!P16:U16)</f>
        <v>318.166666666667</v>
      </c>
      <c r="D39" s="36" t="n">
        <f aca="false">C39/365</f>
        <v>0.871689497716895</v>
      </c>
      <c r="F39" s="33"/>
      <c r="G39" s="34" t="s">
        <v>19</v>
      </c>
      <c r="H39" s="36" t="n">
        <f aca="false">Dati_OPTN!P16/365</f>
        <v>1.06849315068493</v>
      </c>
      <c r="J39" s="33"/>
      <c r="K39" s="34" t="s">
        <v>19</v>
      </c>
      <c r="L39" s="39" t="n">
        <f aca="false">AVERAGE(Dati_OPTN!P16:Y16)</f>
        <v>293.3</v>
      </c>
      <c r="M39" s="36" t="n">
        <f aca="false">L39/365</f>
        <v>0.803561643835617</v>
      </c>
    </row>
    <row r="40" customFormat="false" ht="15" hidden="false" customHeight="false" outlineLevel="0" collapsed="false">
      <c r="A40" s="40"/>
      <c r="B40" s="41" t="s">
        <v>21</v>
      </c>
      <c r="C40" s="42" t="n">
        <f aca="false">AVERAGE(Dati_OPTN!P17:U17)</f>
        <v>79.8333333333333</v>
      </c>
      <c r="D40" s="43" t="n">
        <f aca="false">C40/365</f>
        <v>0.218721461187215</v>
      </c>
      <c r="F40" s="40"/>
      <c r="G40" s="41" t="s">
        <v>21</v>
      </c>
      <c r="H40" s="43" t="n">
        <f aca="false">Dati_OPTN!P17/365</f>
        <v>0.306849315068493</v>
      </c>
      <c r="J40" s="40"/>
      <c r="K40" s="41" t="s">
        <v>21</v>
      </c>
      <c r="L40" s="44" t="n">
        <f aca="false">AVERAGE(Dati_OPTN!P17:Y17)</f>
        <v>75.5</v>
      </c>
      <c r="M40" s="43" t="n">
        <f aca="false">L40/365</f>
        <v>0.206849315068493</v>
      </c>
    </row>
  </sheetData>
  <mergeCells count="6">
    <mergeCell ref="A1:D1"/>
    <mergeCell ref="F1:H1"/>
    <mergeCell ref="J1:M1"/>
    <mergeCell ref="A24:D24"/>
    <mergeCell ref="F24:H24"/>
    <mergeCell ref="J24:M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7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N33" activeCellId="0" sqref="N33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5.42"/>
    <col collapsed="false" customWidth="true" hidden="false" outlineLevel="0" max="3" min="3" style="0" width="15.88"/>
    <col collapsed="false" customWidth="true" hidden="false" outlineLevel="0" max="4" min="4" style="0" width="14.43"/>
    <col collapsed="false" customWidth="true" hidden="false" outlineLevel="0" max="5" min="5" style="0" width="14.69"/>
    <col collapsed="false" customWidth="true" hidden="false" outlineLevel="0" max="6" min="6" style="0" width="4.86"/>
    <col collapsed="false" customWidth="true" hidden="false" outlineLevel="0" max="7" min="7" style="0" width="10.71"/>
    <col collapsed="false" customWidth="true" hidden="false" outlineLevel="0" max="8" min="8" style="0" width="11.42"/>
    <col collapsed="false" customWidth="true" hidden="false" outlineLevel="0" max="9" min="9" style="0" width="14.15"/>
    <col collapsed="false" customWidth="true" hidden="false" outlineLevel="0" max="10" min="10" style="0" width="14.01"/>
    <col collapsed="false" customWidth="true" hidden="false" outlineLevel="0" max="11" min="11" style="0" width="4.71"/>
    <col collapsed="false" customWidth="true" hidden="false" outlineLevel="0" max="14" min="14" style="0" width="15.15"/>
    <col collapsed="false" customWidth="true" hidden="false" outlineLevel="0" max="16" min="15" style="0" width="16.14"/>
  </cols>
  <sheetData>
    <row r="1" customFormat="false" ht="15" hidden="false" customHeight="false" outlineLevel="0" collapsed="false">
      <c r="A1" s="45" t="s">
        <v>48</v>
      </c>
      <c r="B1" s="45"/>
      <c r="C1" s="45"/>
      <c r="D1" s="45"/>
      <c r="E1" s="45"/>
      <c r="G1" s="45" t="s">
        <v>49</v>
      </c>
      <c r="H1" s="45"/>
      <c r="I1" s="45"/>
      <c r="J1" s="45"/>
      <c r="L1" s="45" t="s">
        <v>50</v>
      </c>
      <c r="M1" s="45"/>
      <c r="N1" s="45"/>
      <c r="O1" s="45"/>
      <c r="P1" s="45"/>
    </row>
    <row r="2" customFormat="false" ht="15" hidden="false" customHeight="false" outlineLevel="0" collapsed="false">
      <c r="A2" s="30" t="s">
        <v>2</v>
      </c>
      <c r="B2" s="31" t="s">
        <v>3</v>
      </c>
      <c r="C2" s="32" t="s">
        <v>51</v>
      </c>
      <c r="D2" s="32" t="s">
        <v>52</v>
      </c>
      <c r="E2" s="46" t="s">
        <v>53</v>
      </c>
      <c r="G2" s="30" t="s">
        <v>2</v>
      </c>
      <c r="H2" s="32" t="s">
        <v>3</v>
      </c>
      <c r="I2" s="30" t="s">
        <v>52</v>
      </c>
      <c r="J2" s="46" t="s">
        <v>53</v>
      </c>
      <c r="L2" s="30" t="s">
        <v>2</v>
      </c>
      <c r="M2" s="31" t="s">
        <v>3</v>
      </c>
      <c r="N2" s="30" t="s">
        <v>51</v>
      </c>
      <c r="O2" s="32" t="s">
        <v>52</v>
      </c>
      <c r="P2" s="46" t="s">
        <v>53</v>
      </c>
    </row>
    <row r="3" customFormat="false" ht="15" hidden="false" customHeight="false" outlineLevel="0" collapsed="false">
      <c r="A3" s="33" t="s">
        <v>15</v>
      </c>
      <c r="B3" s="34" t="s">
        <v>16</v>
      </c>
      <c r="C3" s="35" t="n">
        <f aca="false">AVERAGE(Dati_OPTN!C26:H26)</f>
        <v>4495.83333333333</v>
      </c>
      <c r="D3" s="35" t="n">
        <f aca="false">Uscite!$C3/365</f>
        <v>12.3173515981735</v>
      </c>
      <c r="E3" s="47" t="n">
        <f aca="false">Uscite!$C3/Arrivi!$C3</f>
        <v>0.120231950721615</v>
      </c>
      <c r="G3" s="33" t="s">
        <v>15</v>
      </c>
      <c r="H3" s="29" t="s">
        <v>16</v>
      </c>
      <c r="I3" s="48" t="n">
        <f aca="false">Dati_OPTN!C26/365</f>
        <v>10.8328767123288</v>
      </c>
      <c r="J3" s="47" t="n">
        <f aca="false">I3/Arrivi!H3</f>
        <v>0.0952059907057379</v>
      </c>
      <c r="L3" s="33" t="s">
        <v>15</v>
      </c>
      <c r="M3" s="34" t="s">
        <v>16</v>
      </c>
      <c r="N3" s="39" t="n">
        <f aca="false">AVERAGE(Dati_OPTN!C26:L26)</f>
        <v>4596.8</v>
      </c>
      <c r="O3" s="35" t="n">
        <f aca="false">N3/365</f>
        <v>12.5939726027397</v>
      </c>
      <c r="P3" s="47" t="n">
        <f aca="false">N3/Arrivi!$C3</f>
        <v>0.122932099590833</v>
      </c>
    </row>
    <row r="4" customFormat="false" ht="15" hidden="false" customHeight="false" outlineLevel="0" collapsed="false">
      <c r="A4" s="33"/>
      <c r="B4" s="34" t="s">
        <v>18</v>
      </c>
      <c r="C4" s="35" t="n">
        <f aca="false">AVERAGE(Dati_OPTN!C27:H27)</f>
        <v>1.33333333333333</v>
      </c>
      <c r="D4" s="35" t="n">
        <f aca="false">Uscite!$C4/365</f>
        <v>0.00365296803652968</v>
      </c>
      <c r="E4" s="47" t="n">
        <f aca="false">Uscite!$C4/Arrivi!$C4</f>
        <v>0.0357142857142857</v>
      </c>
      <c r="G4" s="33"/>
      <c r="H4" s="29" t="s">
        <v>18</v>
      </c>
      <c r="I4" s="48" t="n">
        <f aca="false">Dati_OPTN!C27/365</f>
        <v>0.00273972602739726</v>
      </c>
      <c r="J4" s="47" t="n">
        <f aca="false">I4/Arrivi!H4</f>
        <v>0.024390243902439</v>
      </c>
      <c r="L4" s="33"/>
      <c r="M4" s="34" t="s">
        <v>18</v>
      </c>
      <c r="N4" s="39" t="n">
        <f aca="false">AVERAGE(Dati_OPTN!C27:L27)</f>
        <v>3.1</v>
      </c>
      <c r="O4" s="35" t="n">
        <f aca="false">N4/365</f>
        <v>0.00849315068493151</v>
      </c>
      <c r="P4" s="47" t="n">
        <f aca="false">N4/Arrivi!$C4</f>
        <v>0.0830357142857143</v>
      </c>
    </row>
    <row r="5" customFormat="false" ht="15" hidden="false" customHeight="false" outlineLevel="0" collapsed="false">
      <c r="A5" s="33"/>
      <c r="B5" s="34" t="s">
        <v>20</v>
      </c>
      <c r="C5" s="35" t="n">
        <f aca="false">AVERAGE(Dati_OPTN!C28:H28)</f>
        <v>1681</v>
      </c>
      <c r="D5" s="35" t="n">
        <f aca="false">Uscite!$C5/365</f>
        <v>4.60547945205479</v>
      </c>
      <c r="E5" s="47" t="n">
        <f aca="false">Uscite!$C5/Arrivi!$C5</f>
        <v>0.0600253527664867</v>
      </c>
      <c r="G5" s="33"/>
      <c r="H5" s="29" t="s">
        <v>20</v>
      </c>
      <c r="I5" s="48" t="n">
        <f aca="false">Dati_OPTN!C28/365</f>
        <v>4.23561643835616</v>
      </c>
      <c r="J5" s="47" t="n">
        <f aca="false">I5/Arrivi!H5</f>
        <v>0.0496387863220421</v>
      </c>
      <c r="L5" s="33"/>
      <c r="M5" s="34" t="s">
        <v>20</v>
      </c>
      <c r="N5" s="39" t="n">
        <f aca="false">AVERAGE(Dati_OPTN!C28:L28)</f>
        <v>1736.3</v>
      </c>
      <c r="O5" s="35" t="n">
        <f aca="false">N5/365</f>
        <v>4.75698630136986</v>
      </c>
      <c r="P5" s="47" t="n">
        <f aca="false">N5/Arrivi!$C5</f>
        <v>0.0620000119027073</v>
      </c>
    </row>
    <row r="6" customFormat="false" ht="15" hidden="false" customHeight="false" outlineLevel="0" collapsed="false">
      <c r="A6" s="33"/>
      <c r="B6" s="34" t="s">
        <v>22</v>
      </c>
      <c r="C6" s="35" t="n">
        <f aca="false">AVERAGE(Dati_OPTN!C29:H29)</f>
        <v>2813.5</v>
      </c>
      <c r="D6" s="35" t="n">
        <f aca="false">Uscite!$C6/365</f>
        <v>7.70821917808219</v>
      </c>
      <c r="E6" s="47" t="n">
        <f aca="false">Uscite!$C6/Arrivi!$C6</f>
        <v>0.300882274307103</v>
      </c>
      <c r="G6" s="33"/>
      <c r="H6" s="29" t="s">
        <v>22</v>
      </c>
      <c r="I6" s="48" t="n">
        <f aca="false">Dati_OPTN!C29/365</f>
        <v>6.59452054794521</v>
      </c>
      <c r="J6" s="47" t="n">
        <f aca="false">I6/Arrivi!H6</f>
        <v>0.232672788786854</v>
      </c>
      <c r="L6" s="33"/>
      <c r="M6" s="34" t="s">
        <v>22</v>
      </c>
      <c r="N6" s="39" t="n">
        <f aca="false">AVERAGE(Dati_OPTN!C29:L29)</f>
        <v>2857.4</v>
      </c>
      <c r="O6" s="35" t="n">
        <f aca="false">N6/365</f>
        <v>7.82849315068493</v>
      </c>
      <c r="P6" s="47" t="n">
        <f aca="false">N6/Arrivi!$C6</f>
        <v>0.305577043044292</v>
      </c>
    </row>
    <row r="7" customFormat="false" ht="15" hidden="false" customHeight="false" outlineLevel="0" collapsed="false">
      <c r="A7" s="33" t="s">
        <v>23</v>
      </c>
      <c r="B7" s="34" t="s">
        <v>16</v>
      </c>
      <c r="C7" s="35" t="n">
        <f aca="false">AVERAGE(Dati_OPTN!C30:H30)</f>
        <v>2355.5</v>
      </c>
      <c r="D7" s="35" t="n">
        <f aca="false">Uscite!$C7/365</f>
        <v>6.45342465753425</v>
      </c>
      <c r="E7" s="47" t="n">
        <f aca="false">Uscite!$C7/Arrivi!$C7</f>
        <v>0.129158137154555</v>
      </c>
      <c r="G7" s="33" t="s">
        <v>23</v>
      </c>
      <c r="H7" s="29" t="s">
        <v>16</v>
      </c>
      <c r="I7" s="48" t="n">
        <f aca="false">Dati_OPTN!C30/365</f>
        <v>5.85753424657534</v>
      </c>
      <c r="J7" s="47" t="n">
        <f aca="false">I7/Arrivi!H7</f>
        <v>0.105123414298358</v>
      </c>
      <c r="L7" s="33" t="s">
        <v>23</v>
      </c>
      <c r="M7" s="34" t="s">
        <v>16</v>
      </c>
      <c r="N7" s="39" t="n">
        <f aca="false">AVERAGE(Dati_OPTN!C30:L30)</f>
        <v>2399.5</v>
      </c>
      <c r="O7" s="35" t="n">
        <f aca="false">N7/365</f>
        <v>6.57397260273973</v>
      </c>
      <c r="P7" s="47" t="n">
        <f aca="false">N7/Arrivi!$C7</f>
        <v>0.131570770580494</v>
      </c>
    </row>
    <row r="8" customFormat="false" ht="15" hidden="false" customHeight="false" outlineLevel="0" collapsed="false">
      <c r="A8" s="33"/>
      <c r="B8" s="34" t="s">
        <v>18</v>
      </c>
      <c r="C8" s="35" t="n">
        <f aca="false">AVERAGE(Dati_OPTN!C31:H31)</f>
        <v>1</v>
      </c>
      <c r="D8" s="35" t="n">
        <f aca="false">Uscite!$C8/365</f>
        <v>0.00273972602739726</v>
      </c>
      <c r="E8" s="47" t="n">
        <f aca="false">Uscite!$C8/Arrivi!$C8</f>
        <v>0.0526315789473684</v>
      </c>
      <c r="G8" s="33"/>
      <c r="H8" s="29" t="s">
        <v>18</v>
      </c>
      <c r="I8" s="48" t="n">
        <f aca="false">Dati_OPTN!C31/365</f>
        <v>0.00273972602739726</v>
      </c>
      <c r="J8" s="47" t="n">
        <f aca="false">I8/Arrivi!H8</f>
        <v>0.0526315789473684</v>
      </c>
      <c r="L8" s="33"/>
      <c r="M8" s="34" t="s">
        <v>18</v>
      </c>
      <c r="N8" s="39" t="n">
        <f aca="false">AVERAGE(Dati_OPTN!C31:L31)</f>
        <v>1.5</v>
      </c>
      <c r="O8" s="35" t="n">
        <f aca="false">N8/365</f>
        <v>0.00410958904109589</v>
      </c>
      <c r="P8" s="47" t="n">
        <f aca="false">N8/Arrivi!$C8</f>
        <v>0.0789473684210526</v>
      </c>
    </row>
    <row r="9" customFormat="false" ht="15" hidden="false" customHeight="false" outlineLevel="0" collapsed="false">
      <c r="A9" s="33"/>
      <c r="B9" s="34" t="s">
        <v>20</v>
      </c>
      <c r="C9" s="35" t="n">
        <f aca="false">AVERAGE(Dati_OPTN!C32:H32)</f>
        <v>913.833333333333</v>
      </c>
      <c r="D9" s="35" t="n">
        <f aca="false">Uscite!$C9/365</f>
        <v>2.50365296803653</v>
      </c>
      <c r="E9" s="47" t="n">
        <f aca="false">Uscite!$C9/Arrivi!$C9</f>
        <v>0.0664444983034416</v>
      </c>
      <c r="G9" s="33"/>
      <c r="H9" s="29" t="s">
        <v>20</v>
      </c>
      <c r="I9" s="48" t="n">
        <f aca="false">Dati_OPTN!C32/365</f>
        <v>2.39452054794521</v>
      </c>
      <c r="J9" s="47" t="n">
        <f aca="false">I9/Arrivi!H9</f>
        <v>0.0568196593420882</v>
      </c>
      <c r="L9" s="33"/>
      <c r="M9" s="34" t="s">
        <v>20</v>
      </c>
      <c r="N9" s="39" t="n">
        <f aca="false">AVERAGE(Dati_OPTN!C32:L32)</f>
        <v>938.3</v>
      </c>
      <c r="O9" s="35" t="n">
        <f aca="false">N9/365</f>
        <v>2.57068493150685</v>
      </c>
      <c r="P9" s="47" t="n">
        <f aca="false">N9/Arrivi!$C9</f>
        <v>0.0682234609791566</v>
      </c>
    </row>
    <row r="10" customFormat="false" ht="15" hidden="false" customHeight="false" outlineLevel="0" collapsed="false">
      <c r="A10" s="33"/>
      <c r="B10" s="34" t="s">
        <v>22</v>
      </c>
      <c r="C10" s="35" t="n">
        <f aca="false">AVERAGE(Dati_OPTN!C33:H33)</f>
        <v>1440.66666666667</v>
      </c>
      <c r="D10" s="35" t="n">
        <f aca="false">Uscite!$C10/365</f>
        <v>3.94703196347032</v>
      </c>
      <c r="E10" s="47" t="n">
        <f aca="false">Uscite!$C10/Arrivi!$C10</f>
        <v>0.322657708100037</v>
      </c>
      <c r="G10" s="33"/>
      <c r="H10" s="29" t="s">
        <v>22</v>
      </c>
      <c r="I10" s="48" t="n">
        <f aca="false">Dati_OPTN!C33/365</f>
        <v>3.46027397260274</v>
      </c>
      <c r="J10" s="47" t="n">
        <f aca="false">I10/Arrivi!H10</f>
        <v>0.255823374518939</v>
      </c>
      <c r="L10" s="33"/>
      <c r="M10" s="34" t="s">
        <v>22</v>
      </c>
      <c r="N10" s="39" t="n">
        <f aca="false">AVERAGE(Dati_OPTN!C33:L33)</f>
        <v>1459.7</v>
      </c>
      <c r="O10" s="35" t="n">
        <f aca="false">N10/365</f>
        <v>3.99917808219178</v>
      </c>
      <c r="P10" s="47" t="n">
        <f aca="false">N10/Arrivi!$C10</f>
        <v>0.326920492721165</v>
      </c>
    </row>
    <row r="11" customFormat="false" ht="15" hidden="false" customHeight="false" outlineLevel="0" collapsed="false">
      <c r="A11" s="33" t="s">
        <v>24</v>
      </c>
      <c r="B11" s="34" t="s">
        <v>16</v>
      </c>
      <c r="C11" s="35" t="n">
        <f aca="false">AVERAGE(Dati_OPTN!C34:H34)</f>
        <v>1294</v>
      </c>
      <c r="D11" s="35" t="n">
        <f aca="false">Uscite!$C11/365</f>
        <v>3.54520547945205</v>
      </c>
      <c r="E11" s="47" t="n">
        <f aca="false">Uscite!$C11/Arrivi!$C11</f>
        <v>0.106343053596132</v>
      </c>
      <c r="G11" s="33" t="s">
        <v>24</v>
      </c>
      <c r="H11" s="29" t="s">
        <v>16</v>
      </c>
      <c r="I11" s="48" t="n">
        <f aca="false">Dati_OPTN!C34/365</f>
        <v>2.91506849315068</v>
      </c>
      <c r="J11" s="47" t="n">
        <f aca="false">I11/Arrivi!H11</f>
        <v>0.0790842872008325</v>
      </c>
      <c r="L11" s="33" t="s">
        <v>24</v>
      </c>
      <c r="M11" s="34" t="s">
        <v>16</v>
      </c>
      <c r="N11" s="39" t="n">
        <f aca="false">AVERAGE(Dati_OPTN!C34:L34)</f>
        <v>1333.8</v>
      </c>
      <c r="O11" s="35" t="n">
        <f aca="false">N11/365</f>
        <v>3.65424657534247</v>
      </c>
      <c r="P11" s="47" t="n">
        <f aca="false">N11/Arrivi!$C11</f>
        <v>0.109613883219877</v>
      </c>
    </row>
    <row r="12" customFormat="false" ht="15" hidden="false" customHeight="false" outlineLevel="0" collapsed="false">
      <c r="A12" s="33"/>
      <c r="B12" s="34" t="s">
        <v>18</v>
      </c>
      <c r="C12" s="35" t="n">
        <f aca="false">AVERAGE(Dati_OPTN!C35:H35)</f>
        <v>0.333333333333333</v>
      </c>
      <c r="D12" s="35" t="n">
        <f aca="false">Uscite!$C12/365</f>
        <v>0.00091324200913242</v>
      </c>
      <c r="E12" s="47" t="n">
        <f aca="false">Uscite!$C12/Arrivi!$C12</f>
        <v>0.03125</v>
      </c>
      <c r="G12" s="33"/>
      <c r="H12" s="29" t="s">
        <v>18</v>
      </c>
      <c r="I12" s="48" t="n">
        <f aca="false">Dati_OPTN!C35/365</f>
        <v>0</v>
      </c>
      <c r="J12" s="47" t="n">
        <f aca="false">I12/Arrivi!H12</f>
        <v>0</v>
      </c>
      <c r="L12" s="33"/>
      <c r="M12" s="34" t="s">
        <v>18</v>
      </c>
      <c r="N12" s="39" t="n">
        <f aca="false">AVERAGE(Dati_OPTN!C35:L35)</f>
        <v>1</v>
      </c>
      <c r="O12" s="35" t="n">
        <f aca="false">N12/365</f>
        <v>0.00273972602739726</v>
      </c>
      <c r="P12" s="47" t="n">
        <f aca="false">N12/Arrivi!$C12</f>
        <v>0.09375</v>
      </c>
    </row>
    <row r="13" customFormat="false" ht="15" hidden="false" customHeight="false" outlineLevel="0" collapsed="false">
      <c r="A13" s="33"/>
      <c r="B13" s="34" t="s">
        <v>20</v>
      </c>
      <c r="C13" s="35" t="n">
        <f aca="false">AVERAGE(Dati_OPTN!C36:H36)</f>
        <v>445.5</v>
      </c>
      <c r="D13" s="35" t="n">
        <f aca="false">Uscite!$C13/365</f>
        <v>1.22054794520548</v>
      </c>
      <c r="E13" s="47" t="n">
        <f aca="false">Uscite!$C13/Arrivi!$C13</f>
        <v>0.0494825894592643</v>
      </c>
      <c r="G13" s="33"/>
      <c r="H13" s="29" t="s">
        <v>20</v>
      </c>
      <c r="I13" s="48" t="n">
        <f aca="false">Dati_OPTN!C36/365</f>
        <v>1.00821917808219</v>
      </c>
      <c r="J13" s="47" t="n">
        <f aca="false">I13/Arrivi!H13</f>
        <v>0.0371154815935451</v>
      </c>
      <c r="L13" s="33"/>
      <c r="M13" s="34" t="s">
        <v>20</v>
      </c>
      <c r="N13" s="39" t="n">
        <f aca="false">AVERAGE(Dati_OPTN!C36:L36)</f>
        <v>469.5</v>
      </c>
      <c r="O13" s="35" t="n">
        <f aca="false">N13/365</f>
        <v>1.28630136986301</v>
      </c>
      <c r="P13" s="47" t="n">
        <f aca="false">N13/Arrivi!$C13</f>
        <v>0.0521483181843426</v>
      </c>
    </row>
    <row r="14" customFormat="false" ht="15" hidden="false" customHeight="false" outlineLevel="0" collapsed="false">
      <c r="A14" s="33"/>
      <c r="B14" s="34" t="s">
        <v>22</v>
      </c>
      <c r="C14" s="35" t="n">
        <f aca="false">AVERAGE(Dati_OPTN!C37:H37)</f>
        <v>848.166666666667</v>
      </c>
      <c r="D14" s="35" t="n">
        <f aca="false">Uscite!$C14/365</f>
        <v>2.32374429223744</v>
      </c>
      <c r="E14" s="47" t="n">
        <f aca="false">Uscite!$C14/Arrivi!$C14</f>
        <v>0.26888935855437</v>
      </c>
      <c r="G14" s="33"/>
      <c r="H14" s="29" t="s">
        <v>22</v>
      </c>
      <c r="I14" s="48" t="n">
        <f aca="false">Dati_OPTN!C37/365</f>
        <v>1.90684931506849</v>
      </c>
      <c r="J14" s="47" t="n">
        <f aca="false">I14/Arrivi!H14</f>
        <v>0.197223009351091</v>
      </c>
      <c r="L14" s="33"/>
      <c r="M14" s="34" t="s">
        <v>22</v>
      </c>
      <c r="N14" s="39" t="n">
        <f aca="false">AVERAGE(Dati_OPTN!C37:L37)</f>
        <v>863.3</v>
      </c>
      <c r="O14" s="35" t="n">
        <f aca="false">N14/365</f>
        <v>2.36520547945205</v>
      </c>
      <c r="P14" s="47" t="n">
        <f aca="false">N14/Arrivi!$C14</f>
        <v>0.273686991440347</v>
      </c>
    </row>
    <row r="15" customFormat="false" ht="15" hidden="false" customHeight="false" outlineLevel="0" collapsed="false">
      <c r="A15" s="33" t="s">
        <v>25</v>
      </c>
      <c r="B15" s="34" t="s">
        <v>16</v>
      </c>
      <c r="C15" s="35" t="n">
        <f aca="false">AVERAGE(Dati_OPTN!C38:H38)</f>
        <v>725.666666666667</v>
      </c>
      <c r="D15" s="35" t="n">
        <f aca="false">Uscite!$C15/365</f>
        <v>1.98812785388128</v>
      </c>
      <c r="E15" s="47" t="n">
        <f aca="false">Uscite!$C15/Arrivi!$C15</f>
        <v>0.130433480123423</v>
      </c>
      <c r="G15" s="33" t="s">
        <v>25</v>
      </c>
      <c r="H15" s="29" t="s">
        <v>16</v>
      </c>
      <c r="I15" s="48" t="n">
        <f aca="false">Dati_OPTN!C38/365</f>
        <v>1.78630136986301</v>
      </c>
      <c r="J15" s="47" t="n">
        <f aca="false">I15/Arrivi!H15</f>
        <v>0.1060507482108</v>
      </c>
      <c r="L15" s="33" t="s">
        <v>25</v>
      </c>
      <c r="M15" s="34" t="s">
        <v>16</v>
      </c>
      <c r="N15" s="39" t="n">
        <f aca="false">AVERAGE(Dati_OPTN!C38:L38)</f>
        <v>733.9</v>
      </c>
      <c r="O15" s="35" t="n">
        <f aca="false">N15/365</f>
        <v>2.01068493150685</v>
      </c>
      <c r="P15" s="47" t="n">
        <f aca="false">N15/Arrivi!$C15</f>
        <v>0.131913363889638</v>
      </c>
    </row>
    <row r="16" customFormat="false" ht="15" hidden="false" customHeight="false" outlineLevel="0" collapsed="false">
      <c r="A16" s="33"/>
      <c r="B16" s="34" t="s">
        <v>18</v>
      </c>
      <c r="C16" s="35" t="n">
        <f aca="false">AVERAGE(Dati_OPTN!C39:H39)</f>
        <v>0</v>
      </c>
      <c r="D16" s="35" t="n">
        <f aca="false">Uscite!$C16/365</f>
        <v>0</v>
      </c>
      <c r="E16" s="47" t="n">
        <f aca="false">Uscite!$C16/Arrivi!$C16</f>
        <v>0</v>
      </c>
      <c r="G16" s="33"/>
      <c r="H16" s="29" t="s">
        <v>18</v>
      </c>
      <c r="I16" s="48" t="n">
        <f aca="false">Dati_OPTN!C39/365</f>
        <v>0</v>
      </c>
      <c r="J16" s="47" t="n">
        <f aca="false">I16/Arrivi!H16</f>
        <v>0</v>
      </c>
      <c r="L16" s="33"/>
      <c r="M16" s="34" t="s">
        <v>18</v>
      </c>
      <c r="N16" s="39" t="n">
        <f aca="false">AVERAGE(Dati_OPTN!C39:L39)</f>
        <v>0.5</v>
      </c>
      <c r="O16" s="35" t="n">
        <f aca="false">N16/365</f>
        <v>0.00136986301369863</v>
      </c>
      <c r="P16" s="47" t="n">
        <f aca="false">N16/Arrivi!$C16</f>
        <v>0.0833333333333333</v>
      </c>
    </row>
    <row r="17" customFormat="false" ht="15" hidden="false" customHeight="false" outlineLevel="0" collapsed="false">
      <c r="A17" s="33"/>
      <c r="B17" s="34" t="s">
        <v>20</v>
      </c>
      <c r="C17" s="35" t="n">
        <f aca="false">AVERAGE(Dati_OPTN!C40:H40)</f>
        <v>283.166666666667</v>
      </c>
      <c r="D17" s="35" t="n">
        <f aca="false">Uscite!$C17/365</f>
        <v>0.775799086757991</v>
      </c>
      <c r="E17" s="47" t="n">
        <f aca="false">Uscite!$C17/Arrivi!$C17</f>
        <v>0.0674527552802922</v>
      </c>
      <c r="G17" s="33"/>
      <c r="H17" s="29" t="s">
        <v>20</v>
      </c>
      <c r="I17" s="48" t="n">
        <f aca="false">Dati_OPTN!C40/365</f>
        <v>0.73972602739726</v>
      </c>
      <c r="J17" s="47" t="n">
        <f aca="false">I17/Arrivi!H17</f>
        <v>0.0575815738963532</v>
      </c>
      <c r="L17" s="33"/>
      <c r="M17" s="34" t="s">
        <v>20</v>
      </c>
      <c r="N17" s="39" t="n">
        <f aca="false">AVERAGE(Dati_OPTN!C40:L40)</f>
        <v>285.6</v>
      </c>
      <c r="O17" s="35" t="n">
        <f aca="false">N17/365</f>
        <v>0.782465753424658</v>
      </c>
      <c r="P17" s="47" t="n">
        <f aca="false">N17/Arrivi!$C17</f>
        <v>0.0680323963792282</v>
      </c>
    </row>
    <row r="18" customFormat="false" ht="15" hidden="false" customHeight="false" outlineLevel="0" collapsed="false">
      <c r="A18" s="33"/>
      <c r="B18" s="34" t="s">
        <v>22</v>
      </c>
      <c r="C18" s="35" t="n">
        <f aca="false">AVERAGE(Dati_OPTN!C41:H41)</f>
        <v>442.5</v>
      </c>
      <c r="D18" s="35" t="n">
        <f aca="false">Uscite!$C18/365</f>
        <v>1.21232876712329</v>
      </c>
      <c r="E18" s="47" t="n">
        <f aca="false">Uscite!$C18/Arrivi!$C18</f>
        <v>0.325487311511585</v>
      </c>
      <c r="G18" s="33"/>
      <c r="H18" s="29" t="s">
        <v>22</v>
      </c>
      <c r="I18" s="48" t="n">
        <f aca="false">Dati_OPTN!C41/365</f>
        <v>1.04657534246575</v>
      </c>
      <c r="J18" s="47" t="n">
        <f aca="false">I18/Arrivi!H18</f>
        <v>0.263630089717046</v>
      </c>
      <c r="K18" s="49"/>
      <c r="L18" s="33"/>
      <c r="M18" s="34" t="s">
        <v>22</v>
      </c>
      <c r="N18" s="39" t="n">
        <f aca="false">AVERAGE(Dati_OPTN!C41:L41)</f>
        <v>447.8</v>
      </c>
      <c r="O18" s="35" t="n">
        <f aca="false">N18/365</f>
        <v>1.22684931506849</v>
      </c>
      <c r="P18" s="47" t="n">
        <f aca="false">N18/Arrivi!$C18</f>
        <v>0.329385803604266</v>
      </c>
    </row>
    <row r="19" customFormat="false" ht="15" hidden="false" customHeight="false" outlineLevel="0" collapsed="false">
      <c r="A19" s="33" t="s">
        <v>26</v>
      </c>
      <c r="B19" s="34" t="s">
        <v>16</v>
      </c>
      <c r="C19" s="35" t="n">
        <f aca="false">AVERAGE(Dati_OPTN!C42:H42)</f>
        <v>120.666666666667</v>
      </c>
      <c r="D19" s="35" t="n">
        <f aca="false">Uscite!$C19/365</f>
        <v>0.330593607305936</v>
      </c>
      <c r="E19" s="47" t="n">
        <f aca="false">Uscite!$C19/Arrivi!$C19</f>
        <v>0.0846882676336414</v>
      </c>
      <c r="G19" s="33" t="s">
        <v>26</v>
      </c>
      <c r="H19" s="29" t="s">
        <v>16</v>
      </c>
      <c r="I19" s="48" t="n">
        <f aca="false">Dati_OPTN!C42/365</f>
        <v>0.273972602739726</v>
      </c>
      <c r="J19" s="47" t="n">
        <f aca="false">I19/Arrivi!H19</f>
        <v>0.0628140703517588</v>
      </c>
      <c r="K19" s="49"/>
      <c r="L19" s="33" t="s">
        <v>26</v>
      </c>
      <c r="M19" s="34" t="s">
        <v>16</v>
      </c>
      <c r="N19" s="39" t="n">
        <f aca="false">AVERAGE(Dati_OPTN!C42:L42)</f>
        <v>129.6</v>
      </c>
      <c r="O19" s="35" t="n">
        <f aca="false">N19/365</f>
        <v>0.355068493150685</v>
      </c>
      <c r="P19" s="47" t="n">
        <f aca="false">N19/Arrivi!$C19</f>
        <v>0.0909580067844192</v>
      </c>
    </row>
    <row r="20" customFormat="false" ht="15" hidden="false" customHeight="false" outlineLevel="0" collapsed="false">
      <c r="A20" s="33"/>
      <c r="B20" s="34" t="s">
        <v>18</v>
      </c>
      <c r="C20" s="35" t="n">
        <f aca="false">AVERAGE(Dati_OPTN!C43:H43)</f>
        <v>0</v>
      </c>
      <c r="D20" s="35" t="n">
        <f aca="false">Uscite!$C20/365</f>
        <v>0</v>
      </c>
      <c r="E20" s="47" t="n">
        <f aca="false">Uscite!$C20/Arrivi!$C20</f>
        <v>0</v>
      </c>
      <c r="G20" s="33"/>
      <c r="H20" s="29" t="s">
        <v>18</v>
      </c>
      <c r="I20" s="48" t="n">
        <f aca="false">Dati_OPTN!C43/365</f>
        <v>0</v>
      </c>
      <c r="J20" s="47" t="n">
        <f aca="false">I20/Arrivi!H20</f>
        <v>0</v>
      </c>
      <c r="K20" s="49"/>
      <c r="L20" s="33"/>
      <c r="M20" s="34" t="s">
        <v>18</v>
      </c>
      <c r="N20" s="39" t="n">
        <f aca="false">AVERAGE(Dati_OPTN!C43:L43)</f>
        <v>0.1</v>
      </c>
      <c r="O20" s="35" t="n">
        <f aca="false">N20/365</f>
        <v>0.000273972602739726</v>
      </c>
      <c r="P20" s="47" t="n">
        <f aca="false">N20/Arrivi!$C20</f>
        <v>0.06</v>
      </c>
    </row>
    <row r="21" customFormat="false" ht="15" hidden="false" customHeight="false" outlineLevel="0" collapsed="false">
      <c r="A21" s="33"/>
      <c r="B21" s="34" t="s">
        <v>20</v>
      </c>
      <c r="C21" s="35" t="n">
        <f aca="false">AVERAGE(Dati_OPTN!C44:H44)</f>
        <v>38.5</v>
      </c>
      <c r="D21" s="35" t="n">
        <f aca="false">Uscite!$C21/365</f>
        <v>0.105479452054795</v>
      </c>
      <c r="E21" s="47" t="n">
        <f aca="false">Uscite!$C21/Arrivi!$C21</f>
        <v>0.0366259711431743</v>
      </c>
      <c r="G21" s="33"/>
      <c r="H21" s="29" t="s">
        <v>20</v>
      </c>
      <c r="I21" s="48" t="n">
        <f aca="false">Dati_OPTN!C44/365</f>
        <v>0.0931506849315069</v>
      </c>
      <c r="J21" s="47" t="n">
        <f aca="false">I21/Arrivi!H21</f>
        <v>0.0293103448275862</v>
      </c>
      <c r="K21" s="49"/>
      <c r="L21" s="33"/>
      <c r="M21" s="34" t="s">
        <v>20</v>
      </c>
      <c r="N21" s="39" t="n">
        <f aca="false">AVERAGE(Dati_OPTN!C44:L44)</f>
        <v>42.9</v>
      </c>
      <c r="O21" s="35" t="n">
        <f aca="false">N21/365</f>
        <v>0.117534246575342</v>
      </c>
      <c r="P21" s="47" t="n">
        <f aca="false">N21/Arrivi!$C21</f>
        <v>0.0408117964166799</v>
      </c>
    </row>
    <row r="22" customFormat="false" ht="15" hidden="false" customHeight="false" outlineLevel="0" collapsed="false">
      <c r="A22" s="40"/>
      <c r="B22" s="41" t="s">
        <v>22</v>
      </c>
      <c r="C22" s="42" t="n">
        <f aca="false">AVERAGE(Dati_OPTN!C45:H45)</f>
        <v>82.1666666666667</v>
      </c>
      <c r="D22" s="42" t="n">
        <f aca="false">Uscite!$C22/365</f>
        <v>0.225114155251142</v>
      </c>
      <c r="E22" s="50" t="n">
        <f aca="false">Uscite!$C22/Arrivi!$C22</f>
        <v>0.220878136200717</v>
      </c>
      <c r="G22" s="40"/>
      <c r="H22" s="51" t="s">
        <v>22</v>
      </c>
      <c r="I22" s="52" t="n">
        <f aca="false">Dati_OPTN!C45/365</f>
        <v>0.180821917808219</v>
      </c>
      <c r="J22" s="50" t="n">
        <f aca="false">I22/Arrivi!H22</f>
        <v>0.153488372093023</v>
      </c>
      <c r="K22" s="49"/>
      <c r="L22" s="40"/>
      <c r="M22" s="41" t="s">
        <v>22</v>
      </c>
      <c r="N22" s="44" t="n">
        <f aca="false">AVERAGE(Dati_OPTN!C45:L45)</f>
        <v>86.6</v>
      </c>
      <c r="O22" s="42" t="n">
        <f aca="false">N22/365</f>
        <v>0.237260273972603</v>
      </c>
      <c r="P22" s="50" t="n">
        <f aca="false">N22/Arrivi!$C22</f>
        <v>0.232795698924731</v>
      </c>
    </row>
    <row r="23" customFormat="false" ht="15" hidden="false" customHeight="false" outlineLevel="0" collapsed="false">
      <c r="A23" s="29"/>
      <c r="B23" s="29"/>
      <c r="C23" s="53"/>
      <c r="D23" s="53"/>
      <c r="E23" s="53"/>
      <c r="G23" s="29"/>
      <c r="H23" s="29"/>
      <c r="I23" s="53"/>
      <c r="J23" s="53"/>
      <c r="K23" s="49"/>
      <c r="L23" s="49"/>
      <c r="M23" s="49"/>
      <c r="N23" s="49"/>
      <c r="O23" s="49"/>
    </row>
    <row r="24" customFormat="false" ht="15" hidden="false" customHeight="false" outlineLevel="0" collapsed="false">
      <c r="A24" s="45" t="s">
        <v>54</v>
      </c>
      <c r="B24" s="45"/>
      <c r="C24" s="45"/>
      <c r="D24" s="45"/>
      <c r="E24" s="45"/>
      <c r="G24" s="45" t="s">
        <v>55</v>
      </c>
      <c r="H24" s="45"/>
      <c r="I24" s="45"/>
      <c r="J24" s="45"/>
      <c r="L24" s="45" t="s">
        <v>56</v>
      </c>
      <c r="M24" s="45"/>
      <c r="N24" s="45"/>
      <c r="O24" s="45"/>
      <c r="P24" s="45"/>
    </row>
    <row r="25" customFormat="false" ht="15" hidden="false" customHeight="false" outlineLevel="0" collapsed="false">
      <c r="A25" s="30" t="s">
        <v>2</v>
      </c>
      <c r="B25" s="31" t="s">
        <v>3</v>
      </c>
      <c r="C25" s="32" t="s">
        <v>57</v>
      </c>
      <c r="D25" s="32" t="s">
        <v>58</v>
      </c>
      <c r="E25" s="31" t="s">
        <v>53</v>
      </c>
      <c r="G25" s="30" t="s">
        <v>2</v>
      </c>
      <c r="H25" s="31" t="s">
        <v>3</v>
      </c>
      <c r="I25" s="31" t="s">
        <v>52</v>
      </c>
      <c r="J25" s="46" t="s">
        <v>53</v>
      </c>
      <c r="L25" s="30" t="s">
        <v>2</v>
      </c>
      <c r="M25" s="31" t="s">
        <v>3</v>
      </c>
      <c r="N25" s="32" t="s">
        <v>57</v>
      </c>
      <c r="O25" s="32" t="s">
        <v>58</v>
      </c>
      <c r="P25" s="31" t="s">
        <v>53</v>
      </c>
    </row>
    <row r="26" customFormat="false" ht="15" hidden="false" customHeight="false" outlineLevel="0" collapsed="false">
      <c r="A26" s="33" t="s">
        <v>15</v>
      </c>
      <c r="B26" s="34" t="s">
        <v>16</v>
      </c>
      <c r="C26" s="35" t="n">
        <f aca="false">IF(AVERAGE(Dati_OPTN!P49:U49) &gt; Arrivi!C3, Arrivi!C3, AVERAGE(Dati_OPTN!P49:U49))</f>
        <v>12187.8333333333</v>
      </c>
      <c r="D26" s="35" t="n">
        <f aca="false">Uscite!$C26/365</f>
        <v>33.3913242009132</v>
      </c>
      <c r="E26" s="36" t="n">
        <f aca="false">Uscite!$C26/Arrivi!C3</f>
        <v>0.325938901220371</v>
      </c>
      <c r="G26" s="33" t="s">
        <v>15</v>
      </c>
      <c r="H26" s="34" t="s">
        <v>16</v>
      </c>
      <c r="I26" s="36" t="n">
        <f aca="false">Dati_OPTN!P49/365</f>
        <v>33.2328767123288</v>
      </c>
      <c r="J26" s="47" t="n">
        <f aca="false">I26/Arrivi!H3</f>
        <v>0.292070983121042</v>
      </c>
      <c r="L26" s="33" t="s">
        <v>15</v>
      </c>
      <c r="M26" s="34" t="s">
        <v>16</v>
      </c>
      <c r="N26" s="37" t="n">
        <f aca="false">IF(AVERAGE(Dati_OPTN!P49:Y49) &gt; Arrivi!C3, Arrivi!C3, AVERAGE(Dati_OPTN!P49:Y49))</f>
        <v>10845.9</v>
      </c>
      <c r="O26" s="54" t="n">
        <f aca="false">N26/365</f>
        <v>29.7147945205479</v>
      </c>
      <c r="P26" s="38" t="n">
        <f aca="false">N26/Arrivi!C3</f>
        <v>0.290051613938438</v>
      </c>
    </row>
    <row r="27" customFormat="false" ht="15" hidden="false" customHeight="false" outlineLevel="0" collapsed="false">
      <c r="A27" s="33"/>
      <c r="B27" s="34" t="s">
        <v>18</v>
      </c>
      <c r="C27" s="35" t="n">
        <f aca="false">IF(AVERAGE(Dati_OPTN!P50:U50) &gt; Arrivi!C4, Arrivi!C4, AVERAGE(Dati_OPTN!P50:U50))</f>
        <v>3.33333333333333</v>
      </c>
      <c r="D27" s="35" t="n">
        <f aca="false">Uscite!$C27/365</f>
        <v>0.0091324200913242</v>
      </c>
      <c r="E27" s="36" t="n">
        <f aca="false">Uscite!$C27/Arrivi!C4</f>
        <v>0.0892857142857143</v>
      </c>
      <c r="G27" s="33"/>
      <c r="H27" s="34" t="s">
        <v>18</v>
      </c>
      <c r="I27" s="36" t="n">
        <f aca="false">Dati_OPTN!P50/365</f>
        <v>0.00547945205479452</v>
      </c>
      <c r="J27" s="47" t="n">
        <f aca="false">I27/Arrivi!H4</f>
        <v>0.0487804878048781</v>
      </c>
      <c r="L27" s="33"/>
      <c r="M27" s="34" t="s">
        <v>18</v>
      </c>
      <c r="N27" s="39" t="n">
        <f aca="false">IF(AVERAGE(Dati_OPTN!P50:Y50) &gt; Arrivi!C4, Arrivi!C4, AVERAGE(Dati_OPTN!P50:Y50))</f>
        <v>4.4</v>
      </c>
      <c r="O27" s="35" t="n">
        <f aca="false">N27/365</f>
        <v>0.0120547945205479</v>
      </c>
      <c r="P27" s="36" t="n">
        <f aca="false">N27/Arrivi!C4</f>
        <v>0.117857142857143</v>
      </c>
    </row>
    <row r="28" customFormat="false" ht="15" hidden="false" customHeight="false" outlineLevel="0" collapsed="false">
      <c r="A28" s="33"/>
      <c r="B28" s="34" t="s">
        <v>20</v>
      </c>
      <c r="C28" s="35" t="n">
        <f aca="false">IF(AVERAGE(Dati_OPTN!P51:U51) &gt; Arrivi!C5, Arrivi!C5, AVERAGE(Dati_OPTN!P51:U51))</f>
        <v>2905.83333333333</v>
      </c>
      <c r="D28" s="35" t="n">
        <f aca="false">Uscite!$C28/365</f>
        <v>7.96118721461187</v>
      </c>
      <c r="E28" s="36" t="n">
        <f aca="false">Uscite!$C28/Arrivi!C5</f>
        <v>0.103761850632926</v>
      </c>
      <c r="G28" s="33"/>
      <c r="H28" s="34" t="s">
        <v>20</v>
      </c>
      <c r="I28" s="36" t="n">
        <f aca="false">Dati_OPTN!P51/365</f>
        <v>8.2</v>
      </c>
      <c r="J28" s="47" t="n">
        <f aca="false">I28/Arrivi!H5</f>
        <v>0.0960988922780543</v>
      </c>
      <c r="L28" s="33"/>
      <c r="M28" s="34" t="s">
        <v>20</v>
      </c>
      <c r="N28" s="39" t="n">
        <f aca="false">IF(AVERAGE(Dati_OPTN!P51:Y51) &gt; Arrivi!C5, Arrivi!C5, AVERAGE(Dati_OPTN!P51:Y51))</f>
        <v>2764.8</v>
      </c>
      <c r="O28" s="35" t="n">
        <f aca="false">N28/365</f>
        <v>7.57479452054795</v>
      </c>
      <c r="P28" s="36" t="n">
        <f aca="false">N28/Arrivi!C5</f>
        <v>0.0987258151866642</v>
      </c>
    </row>
    <row r="29" customFormat="false" ht="15" hidden="false" customHeight="false" outlineLevel="0" collapsed="false">
      <c r="A29" s="33"/>
      <c r="B29" s="34" t="s">
        <v>22</v>
      </c>
      <c r="C29" s="35" t="n">
        <f aca="false">IF(AVERAGE(Dati_OPTN!P52:U52) &gt; Arrivi!C6, Arrivi!C6, AVERAGE(Dati_OPTN!P52:U52))</f>
        <v>9278.66666666667</v>
      </c>
      <c r="D29" s="35" t="n">
        <f aca="false">Uscite!$C29/365</f>
        <v>25.42100456621</v>
      </c>
      <c r="E29" s="36" t="n">
        <f aca="false">Uscite!$C29/Arrivi!C6</f>
        <v>0.992282327778273</v>
      </c>
      <c r="G29" s="33"/>
      <c r="H29" s="34" t="s">
        <v>22</v>
      </c>
      <c r="I29" s="36" t="n">
        <f aca="false">Dati_OPTN!P52/365</f>
        <v>25.027397260274</v>
      </c>
      <c r="J29" s="47" t="n">
        <f aca="false">I29/Arrivi!H6</f>
        <v>0.883035282745288</v>
      </c>
      <c r="L29" s="33"/>
      <c r="M29" s="34" t="s">
        <v>22</v>
      </c>
      <c r="N29" s="39" t="n">
        <f aca="false">IF(AVERAGE(Dati_OPTN!P52:Y52) &gt; Arrivi!C6, Arrivi!C6, AVERAGE(Dati_OPTN!P52:Y52))</f>
        <v>8076.7</v>
      </c>
      <c r="O29" s="35" t="n">
        <f aca="false">N29/365</f>
        <v>22.1279452054795</v>
      </c>
      <c r="P29" s="36" t="n">
        <f aca="false">N29/Arrivi!C6</f>
        <v>0.863741199536583</v>
      </c>
    </row>
    <row r="30" customFormat="false" ht="15" hidden="false" customHeight="false" outlineLevel="0" collapsed="false">
      <c r="A30" s="33" t="s">
        <v>23</v>
      </c>
      <c r="B30" s="34" t="s">
        <v>16</v>
      </c>
      <c r="C30" s="35" t="n">
        <f aca="false">IF(AVERAGE(Dati_OPTN!P53:U53) &gt; Arrivi!C7, Arrivi!C7, AVERAGE(Dati_OPTN!P53:U53))</f>
        <v>6284.66666666667</v>
      </c>
      <c r="D30" s="35" t="n">
        <f aca="false">Uscite!$C30/365</f>
        <v>17.2182648401826</v>
      </c>
      <c r="E30" s="36" t="n">
        <f aca="false">Uscite!$C30/Arrivi!C7</f>
        <v>0.344604474338354</v>
      </c>
      <c r="G30" s="33" t="s">
        <v>23</v>
      </c>
      <c r="H30" s="34" t="s">
        <v>16</v>
      </c>
      <c r="I30" s="36" t="n">
        <f aca="false">Dati_OPTN!P53/365</f>
        <v>17.2602739726027</v>
      </c>
      <c r="J30" s="47" t="n">
        <f aca="false">I30/Arrivi!H7</f>
        <v>0.309764971973645</v>
      </c>
      <c r="L30" s="33" t="s">
        <v>23</v>
      </c>
      <c r="M30" s="34" t="s">
        <v>16</v>
      </c>
      <c r="N30" s="39" t="n">
        <f aca="false">IF(AVERAGE(Dati_OPTN!P53:Y53) &gt; Arrivi!C7, Arrivi!C7, AVERAGE(Dati_OPTN!P53:Y53))</f>
        <v>5564.1</v>
      </c>
      <c r="O30" s="35" t="n">
        <f aca="false">N30/365</f>
        <v>15.2441095890411</v>
      </c>
      <c r="P30" s="36" t="n">
        <f aca="false">N30/Arrivi!C7</f>
        <v>0.305093946483404</v>
      </c>
    </row>
    <row r="31" customFormat="false" ht="15" hidden="false" customHeight="false" outlineLevel="0" collapsed="false">
      <c r="A31" s="33"/>
      <c r="B31" s="34" t="s">
        <v>18</v>
      </c>
      <c r="C31" s="35" t="n">
        <f aca="false">IF(AVERAGE(Dati_OPTN!P54:U54) &gt; Arrivi!C8, Arrivi!C8, AVERAGE(Dati_OPTN!P54:U54))</f>
        <v>2.33333333333333</v>
      </c>
      <c r="D31" s="35" t="n">
        <f aca="false">Uscite!$C31/365</f>
        <v>0.00639269406392694</v>
      </c>
      <c r="E31" s="55" t="n">
        <f aca="false">Uscite!$C31/Arrivi!C8</f>
        <v>0.12280701754386</v>
      </c>
      <c r="G31" s="33"/>
      <c r="H31" s="34" t="s">
        <v>18</v>
      </c>
      <c r="I31" s="36" t="n">
        <f aca="false">Dati_OPTN!P54/365</f>
        <v>0</v>
      </c>
      <c r="J31" s="47" t="n">
        <f aca="false">I31/Arrivi!H8</f>
        <v>0</v>
      </c>
      <c r="L31" s="33"/>
      <c r="M31" s="34" t="s">
        <v>18</v>
      </c>
      <c r="N31" s="39" t="n">
        <f aca="false">IF(AVERAGE(Dati_OPTN!P54:Y54) &gt; Arrivi!C8, Arrivi!C8, AVERAGE(Dati_OPTN!P54:Y54))</f>
        <v>2.5</v>
      </c>
      <c r="O31" s="35" t="n">
        <f aca="false">N31/365</f>
        <v>0.00684931506849315</v>
      </c>
      <c r="P31" s="36" t="n">
        <f aca="false">N31/Arrivi!C8</f>
        <v>0.131578947368421</v>
      </c>
    </row>
    <row r="32" customFormat="false" ht="15" hidden="false" customHeight="false" outlineLevel="0" collapsed="false">
      <c r="A32" s="33"/>
      <c r="B32" s="34" t="s">
        <v>20</v>
      </c>
      <c r="C32" s="35" t="n">
        <f aca="false">IF(AVERAGE(Dati_OPTN!P55:U55) &gt; Arrivi!C9, Arrivi!C9, AVERAGE(Dati_OPTN!P55:U55))</f>
        <v>1521.5</v>
      </c>
      <c r="D32" s="35" t="n">
        <f aca="false">Uscite!$C32/365</f>
        <v>4.16849315068493</v>
      </c>
      <c r="E32" s="55" t="n">
        <f aca="false">Uscite!$C32/Arrivi!C9</f>
        <v>0.11062772661173</v>
      </c>
      <c r="G32" s="33"/>
      <c r="H32" s="34" t="s">
        <v>20</v>
      </c>
      <c r="I32" s="36" t="n">
        <f aca="false">Dati_OPTN!P55/365</f>
        <v>4.28493150684932</v>
      </c>
      <c r="J32" s="47" t="n">
        <f aca="false">I32/Arrivi!H9</f>
        <v>0.101677285138474</v>
      </c>
      <c r="L32" s="33"/>
      <c r="M32" s="34" t="s">
        <v>20</v>
      </c>
      <c r="N32" s="39" t="n">
        <f aca="false">IF(AVERAGE(Dati_OPTN!P55:Y55) &gt; Arrivi!C9, Arrivi!C9, AVERAGE(Dati_OPTN!P55:Y55))</f>
        <v>1439.5</v>
      </c>
      <c r="O32" s="35" t="n">
        <f aca="false">N32/365</f>
        <v>3.94383561643836</v>
      </c>
      <c r="P32" s="36" t="n">
        <f aca="false">N32/Arrivi!C9</f>
        <v>0.104665535627727</v>
      </c>
    </row>
    <row r="33" customFormat="false" ht="15" hidden="false" customHeight="false" outlineLevel="0" collapsed="false">
      <c r="A33" s="33"/>
      <c r="B33" s="34" t="s">
        <v>22</v>
      </c>
      <c r="C33" s="35" t="n">
        <f aca="false">IF(AVERAGE(Dati_OPTN!P56:U56) &gt; Arrivi!C10, Arrivi!C10, AVERAGE(Dati_OPTN!P56:U56))</f>
        <v>4465</v>
      </c>
      <c r="D33" s="35" t="n">
        <f aca="false">Uscite!$C33/365</f>
        <v>12.2328767123288</v>
      </c>
      <c r="E33" s="55" t="n">
        <f aca="false">Uscite!$C33/Arrivi!C10</f>
        <v>1</v>
      </c>
      <c r="G33" s="33"/>
      <c r="H33" s="34" t="s">
        <v>22</v>
      </c>
      <c r="I33" s="36" t="n">
        <f aca="false">Dati_OPTN!P56/365</f>
        <v>12.9753424657534</v>
      </c>
      <c r="J33" s="47" t="n">
        <f aca="false">I33/Arrivi!H10</f>
        <v>0.959287016406725</v>
      </c>
      <c r="L33" s="33"/>
      <c r="M33" s="34" t="s">
        <v>22</v>
      </c>
      <c r="N33" s="39" t="n">
        <f aca="false">IF(AVERAGE(Dati_OPTN!P56:Y56) &gt; Arrivi!C10, Arrivi!C10, AVERAGE(Dati_OPTN!P56:Y56))</f>
        <v>4122.1</v>
      </c>
      <c r="O33" s="35" t="n">
        <f aca="false">N33/365</f>
        <v>11.2934246575342</v>
      </c>
      <c r="P33" s="36" t="n">
        <f aca="false">N33/Arrivi!C10</f>
        <v>0.923202687569989</v>
      </c>
    </row>
    <row r="34" customFormat="false" ht="15" hidden="false" customHeight="false" outlineLevel="0" collapsed="false">
      <c r="A34" s="33" t="s">
        <v>24</v>
      </c>
      <c r="B34" s="34" t="s">
        <v>16</v>
      </c>
      <c r="C34" s="35" t="n">
        <f aca="false">IF(AVERAGE(Dati_OPTN!P57:U57) &gt; Arrivi!C11, Arrivi!C11, AVERAGE(Dati_OPTN!P57:U57))</f>
        <v>3636.33333333333</v>
      </c>
      <c r="D34" s="35" t="n">
        <f aca="false">Uscite!$C34/365</f>
        <v>9.96255707762557</v>
      </c>
      <c r="E34" s="55" t="n">
        <f aca="false">Uscite!$C34/Arrivi!C11</f>
        <v>0.298839869057239</v>
      </c>
      <c r="G34" s="33" t="s">
        <v>24</v>
      </c>
      <c r="H34" s="34" t="s">
        <v>16</v>
      </c>
      <c r="I34" s="36" t="n">
        <f aca="false">Dati_OPTN!P57/365</f>
        <v>9.68767123287671</v>
      </c>
      <c r="J34" s="47" t="n">
        <f aca="false">I34/Arrivi!H11</f>
        <v>0.262821465735097</v>
      </c>
      <c r="L34" s="33" t="s">
        <v>24</v>
      </c>
      <c r="M34" s="34" t="s">
        <v>16</v>
      </c>
      <c r="N34" s="39" t="n">
        <f aca="false">IF(AVERAGE(Dati_OPTN!P57:Y57) &gt; Arrivi!C11, Arrivi!C11, AVERAGE(Dati_OPTN!P57:Y57))</f>
        <v>3261.2</v>
      </c>
      <c r="O34" s="35" t="n">
        <f aca="false">N34/365</f>
        <v>8.93479452054794</v>
      </c>
      <c r="P34" s="36" t="n">
        <f aca="false">N34/Arrivi!C11</f>
        <v>0.268010793189881</v>
      </c>
    </row>
    <row r="35" customFormat="false" ht="15" hidden="false" customHeight="false" outlineLevel="0" collapsed="false">
      <c r="A35" s="33"/>
      <c r="B35" s="34" t="s">
        <v>18</v>
      </c>
      <c r="C35" s="35" t="n">
        <f aca="false">IF(AVERAGE(Dati_OPTN!P58:U58) &gt; Arrivi!C12, Arrivi!C12, AVERAGE(Dati_OPTN!P58:U58))</f>
        <v>0.5</v>
      </c>
      <c r="D35" s="35" t="n">
        <f aca="false">Uscite!$C35/365</f>
        <v>0.00136986301369863</v>
      </c>
      <c r="E35" s="55" t="n">
        <f aca="false">Uscite!$C35/Arrivi!C12</f>
        <v>0.046875</v>
      </c>
      <c r="G35" s="33"/>
      <c r="H35" s="34" t="s">
        <v>18</v>
      </c>
      <c r="I35" s="36" t="n">
        <f aca="false">Dati_OPTN!P58/365</f>
        <v>0.00547945205479452</v>
      </c>
      <c r="J35" s="47" t="n">
        <f aca="false">I35/Arrivi!H12</f>
        <v>0.2</v>
      </c>
      <c r="L35" s="33"/>
      <c r="M35" s="34" t="s">
        <v>18</v>
      </c>
      <c r="N35" s="39" t="n">
        <f aca="false">IF(AVERAGE(Dati_OPTN!P58:Y58) &gt; Arrivi!C12, Arrivi!C12, AVERAGE(Dati_OPTN!P58:Y58))</f>
        <v>1.2</v>
      </c>
      <c r="O35" s="35" t="n">
        <f aca="false">N35/365</f>
        <v>0.00328767123287671</v>
      </c>
      <c r="P35" s="36" t="n">
        <f aca="false">N35/Arrivi!C12</f>
        <v>0.1125</v>
      </c>
    </row>
    <row r="36" customFormat="false" ht="15" hidden="false" customHeight="false" outlineLevel="0" collapsed="false">
      <c r="A36" s="33"/>
      <c r="B36" s="34" t="s">
        <v>20</v>
      </c>
      <c r="C36" s="35" t="n">
        <f aca="false">IF(AVERAGE(Dati_OPTN!P59:U59) &gt; Arrivi!C13, Arrivi!C13, AVERAGE(Dati_OPTN!P59:U59))</f>
        <v>853.333333333333</v>
      </c>
      <c r="D36" s="35" t="n">
        <f aca="false">Uscite!$C36/365</f>
        <v>2.337899543379</v>
      </c>
      <c r="E36" s="55" t="n">
        <f aca="false">Uscite!$C36/Arrivi!C13</f>
        <v>0.0947814657805587</v>
      </c>
      <c r="G36" s="33"/>
      <c r="H36" s="34" t="s">
        <v>20</v>
      </c>
      <c r="I36" s="36" t="n">
        <f aca="false">Dati_OPTN!P59/365</f>
        <v>2.36712328767123</v>
      </c>
      <c r="J36" s="47" t="n">
        <f aca="false">I36/Arrivi!H13</f>
        <v>0.0871406959152799</v>
      </c>
      <c r="L36" s="33"/>
      <c r="M36" s="34" t="s">
        <v>20</v>
      </c>
      <c r="N36" s="39" t="n">
        <f aca="false">IF(AVERAGE(Dati_OPTN!P59:Y59) &gt; Arrivi!C13, Arrivi!C13, AVERAGE(Dati_OPTN!P59:Y59))</f>
        <v>818.7</v>
      </c>
      <c r="O36" s="35" t="n">
        <f aca="false">N36/365</f>
        <v>2.24301369863014</v>
      </c>
      <c r="P36" s="36" t="n">
        <f aca="false">N36/Arrivi!C13</f>
        <v>0.0909346711342306</v>
      </c>
    </row>
    <row r="37" customFormat="false" ht="15" hidden="false" customHeight="false" outlineLevel="0" collapsed="false">
      <c r="A37" s="33"/>
      <c r="B37" s="34" t="s">
        <v>22</v>
      </c>
      <c r="C37" s="35" t="n">
        <f aca="false">IF(AVERAGE(Dati_OPTN!P60:U60) &gt; Arrivi!C14, Arrivi!C14, AVERAGE(Dati_OPTN!P60:U60))</f>
        <v>2782.5</v>
      </c>
      <c r="D37" s="35" t="n">
        <f aca="false">Uscite!$C37/365</f>
        <v>7.62328767123288</v>
      </c>
      <c r="E37" s="55" t="n">
        <f aca="false">Uscite!$C37/Arrivi!C14</f>
        <v>0.882119835147416</v>
      </c>
      <c r="G37" s="33"/>
      <c r="H37" s="34" t="s">
        <v>22</v>
      </c>
      <c r="I37" s="36" t="n">
        <f aca="false">Dati_OPTN!P60/365</f>
        <v>7.31506849315069</v>
      </c>
      <c r="J37" s="47" t="n">
        <f aca="false">I37/Arrivi!H14</f>
        <v>0.75658826863134</v>
      </c>
      <c r="L37" s="33"/>
      <c r="M37" s="34" t="s">
        <v>22</v>
      </c>
      <c r="N37" s="39" t="n">
        <f aca="false">IF(AVERAGE(Dati_OPTN!P60:Y60) &gt; Arrivi!C14, Arrivi!C14, AVERAGE(Dati_OPTN!P60:Y60))</f>
        <v>2441.3</v>
      </c>
      <c r="O37" s="35" t="n">
        <f aca="false">N37/365</f>
        <v>6.68849315068493</v>
      </c>
      <c r="P37" s="36" t="n">
        <f aca="false">N37/Arrivi!C14</f>
        <v>0.773951178273275</v>
      </c>
    </row>
    <row r="38" customFormat="false" ht="15" hidden="false" customHeight="false" outlineLevel="0" collapsed="false">
      <c r="A38" s="33" t="s">
        <v>25</v>
      </c>
      <c r="B38" s="34" t="s">
        <v>16</v>
      </c>
      <c r="C38" s="35" t="n">
        <f aca="false">IF(AVERAGE(Dati_OPTN!P61:U61) &gt; Arrivi!C15, Arrivi!C15, AVERAGE(Dati_OPTN!P61:U61))</f>
        <v>1913.66666666667</v>
      </c>
      <c r="D38" s="35" t="n">
        <f aca="false">Uscite!$C38/365</f>
        <v>5.24292237442922</v>
      </c>
      <c r="E38" s="55" t="n">
        <f aca="false">Uscite!$C38/Arrivi!C15</f>
        <v>0.34396812558042</v>
      </c>
      <c r="G38" s="33" t="s">
        <v>25</v>
      </c>
      <c r="H38" s="34" t="s">
        <v>16</v>
      </c>
      <c r="I38" s="36" t="n">
        <f aca="false">Dati_OPTN!P61/365</f>
        <v>5.41369863013699</v>
      </c>
      <c r="J38" s="47" t="n">
        <f aca="false">I38/Arrivi!H15</f>
        <v>0.321405335068315</v>
      </c>
      <c r="L38" s="33" t="s">
        <v>25</v>
      </c>
      <c r="M38" s="34" t="s">
        <v>16</v>
      </c>
      <c r="N38" s="39" t="n">
        <f aca="false">IF(AVERAGE(Dati_OPTN!P61:Y61) &gt; Arrivi!C15, Arrivi!C15, AVERAGE(Dati_OPTN!P61:Y61))</f>
        <v>1702.6</v>
      </c>
      <c r="O38" s="35" t="n">
        <f aca="false">N38/365</f>
        <v>4.66465753424658</v>
      </c>
      <c r="P38" s="36" t="n">
        <f aca="false">N38/Arrivi!C15</f>
        <v>0.306030376561517</v>
      </c>
    </row>
    <row r="39" customFormat="false" ht="15" hidden="false" customHeight="false" outlineLevel="0" collapsed="false">
      <c r="A39" s="33"/>
      <c r="B39" s="34" t="s">
        <v>18</v>
      </c>
      <c r="C39" s="35" t="n">
        <f aca="false">IF(AVERAGE(Dati_OPTN!P62:U62) &gt; Arrivi!C16, Arrivi!C16, AVERAGE(Dati_OPTN!P62:U62))</f>
        <v>0</v>
      </c>
      <c r="D39" s="35" t="n">
        <f aca="false">Uscite!$C39/365</f>
        <v>0</v>
      </c>
      <c r="E39" s="55" t="n">
        <f aca="false">Uscite!$C39/Arrivi!C16</f>
        <v>0</v>
      </c>
      <c r="G39" s="33"/>
      <c r="H39" s="34" t="s">
        <v>18</v>
      </c>
      <c r="I39" s="36" t="n">
        <f aca="false">Dati_OPTN!P62/365</f>
        <v>0</v>
      </c>
      <c r="J39" s="47" t="n">
        <f aca="false">I39/Arrivi!H16</f>
        <v>0</v>
      </c>
      <c r="L39" s="33"/>
      <c r="M39" s="34" t="s">
        <v>18</v>
      </c>
      <c r="N39" s="39" t="n">
        <f aca="false">IF(AVERAGE(Dati_OPTN!P62:Y62) &gt; Arrivi!C16, Arrivi!C16, AVERAGE(Dati_OPTN!P62:Y62))</f>
        <v>0.4</v>
      </c>
      <c r="O39" s="35" t="n">
        <f aca="false">N39/365</f>
        <v>0.0010958904109589</v>
      </c>
      <c r="P39" s="36" t="n">
        <f aca="false">N39/Arrivi!C16</f>
        <v>0.0666666666666667</v>
      </c>
    </row>
    <row r="40" customFormat="false" ht="15" hidden="false" customHeight="false" outlineLevel="0" collapsed="false">
      <c r="A40" s="33"/>
      <c r="B40" s="34" t="s">
        <v>20</v>
      </c>
      <c r="C40" s="35" t="n">
        <f aca="false">IF(AVERAGE(Dati_OPTN!P63:U63) &gt; Arrivi!C17, Arrivi!C17, AVERAGE(Dati_OPTN!P63:U63))</f>
        <v>454</v>
      </c>
      <c r="D40" s="35" t="n">
        <f aca="false">Uscite!$C40/365</f>
        <v>1.24383561643836</v>
      </c>
      <c r="E40" s="55" t="n">
        <f aca="false">Uscite!$C40/Arrivi!C17</f>
        <v>0.10814673654121</v>
      </c>
      <c r="G40" s="33"/>
      <c r="H40" s="34" t="s">
        <v>20</v>
      </c>
      <c r="I40" s="36" t="n">
        <f aca="false">Dati_OPTN!P63/365</f>
        <v>1.30958904109589</v>
      </c>
      <c r="J40" s="47" t="n">
        <f aca="false">I40/Arrivi!H17</f>
        <v>0.101940712305396</v>
      </c>
      <c r="L40" s="33"/>
      <c r="M40" s="34" t="s">
        <v>20</v>
      </c>
      <c r="N40" s="39" t="n">
        <f aca="false">IF(AVERAGE(Dati_OPTN!P63:Y63) &gt; Arrivi!C17, Arrivi!C17, AVERAGE(Dati_OPTN!P63:Y63))</f>
        <v>430.7</v>
      </c>
      <c r="O40" s="35" t="n">
        <f aca="false">N40/365</f>
        <v>1.18</v>
      </c>
      <c r="P40" s="36" t="n">
        <f aca="false">N40/Arrivi!C17</f>
        <v>0.102596474511672</v>
      </c>
    </row>
    <row r="41" customFormat="false" ht="15" hidden="false" customHeight="false" outlineLevel="0" collapsed="false">
      <c r="A41" s="33"/>
      <c r="B41" s="34" t="s">
        <v>22</v>
      </c>
      <c r="C41" s="35" t="n">
        <f aca="false">IF(AVERAGE(Dati_OPTN!P64:U64) &gt; Arrivi!C18, Arrivi!C18, AVERAGE(Dati_OPTN!P64:U64))</f>
        <v>1359.5</v>
      </c>
      <c r="D41" s="35" t="n">
        <f aca="false">Uscite!$C41/365</f>
        <v>3.72465753424658</v>
      </c>
      <c r="E41" s="55" t="n">
        <f aca="false">Uscite!$C41/Arrivi!C18</f>
        <v>1</v>
      </c>
      <c r="G41" s="33"/>
      <c r="H41" s="34" t="s">
        <v>22</v>
      </c>
      <c r="I41" s="36" t="n">
        <f aca="false">Dati_OPTN!P64/365</f>
        <v>4.1041095890411</v>
      </c>
      <c r="J41" s="47" t="n">
        <f aca="false">I41/Arrivi!H18</f>
        <v>1.03381642512077</v>
      </c>
      <c r="L41" s="33"/>
      <c r="M41" s="34" t="s">
        <v>22</v>
      </c>
      <c r="N41" s="39" t="n">
        <f aca="false">IF(AVERAGE(Dati_OPTN!P64:Y64) &gt; Arrivi!C18, Arrivi!C18, AVERAGE(Dati_OPTN!P64:Y64))</f>
        <v>1271.5</v>
      </c>
      <c r="O41" s="35" t="n">
        <f aca="false">N41/365</f>
        <v>3.48356164383562</v>
      </c>
      <c r="P41" s="36" t="n">
        <f aca="false">N41/Arrivi!C18</f>
        <v>0.935270319970577</v>
      </c>
    </row>
    <row r="42" customFormat="false" ht="15" hidden="false" customHeight="false" outlineLevel="0" collapsed="false">
      <c r="A42" s="33" t="s">
        <v>26</v>
      </c>
      <c r="B42" s="34" t="s">
        <v>16</v>
      </c>
      <c r="C42" s="35" t="n">
        <f aca="false">IF(AVERAGE(Dati_OPTN!P65:U65) &gt; Arrivi!C19, Arrivi!C19, AVERAGE(Dati_OPTN!P65:U65))</f>
        <v>353.333333333333</v>
      </c>
      <c r="D42" s="35" t="n">
        <f aca="false">Uscite!$C42/365</f>
        <v>0.968036529680365</v>
      </c>
      <c r="E42" s="55" t="n">
        <f aca="false">Uscite!$C42/Arrivi!C19</f>
        <v>0.247982220142707</v>
      </c>
      <c r="G42" s="33" t="s">
        <v>26</v>
      </c>
      <c r="H42" s="34" t="s">
        <v>16</v>
      </c>
      <c r="I42" s="36" t="n">
        <f aca="false">Dati_OPTN!P65/365</f>
        <v>0.871232876712329</v>
      </c>
      <c r="J42" s="47" t="n">
        <f aca="false">I42/Arrivi!H19</f>
        <v>0.199748743718593</v>
      </c>
      <c r="L42" s="33" t="s">
        <v>26</v>
      </c>
      <c r="M42" s="34" t="s">
        <v>16</v>
      </c>
      <c r="N42" s="39" t="n">
        <f aca="false">IF(AVERAGE(Dati_OPTN!P65:Y65) &gt; Arrivi!C19, Arrivi!C19, AVERAGE(Dati_OPTN!P65:Y65))</f>
        <v>318.3</v>
      </c>
      <c r="O42" s="35" t="n">
        <f aca="false">N42/365</f>
        <v>0.872054794520548</v>
      </c>
      <c r="P42" s="36" t="n">
        <f aca="false">N42/Arrivi!C19</f>
        <v>0.223394549070067</v>
      </c>
    </row>
    <row r="43" customFormat="false" ht="15" hidden="false" customHeight="false" outlineLevel="0" collapsed="false">
      <c r="A43" s="33"/>
      <c r="B43" s="34" t="s">
        <v>18</v>
      </c>
      <c r="C43" s="35" t="n">
        <f aca="false">IF(AVERAGE(Dati_OPTN!P66:U66) &gt; Arrivi!C20, Arrivi!C20, AVERAGE(Dati_OPTN!P66:U66))</f>
        <v>0.5</v>
      </c>
      <c r="D43" s="35" t="n">
        <f aca="false">Uscite!$C43/365</f>
        <v>0.00136986301369863</v>
      </c>
      <c r="E43" s="36" t="n">
        <f aca="false">Uscite!$C43/Arrivi!C20</f>
        <v>0.3</v>
      </c>
      <c r="G43" s="33"/>
      <c r="H43" s="34" t="s">
        <v>18</v>
      </c>
      <c r="I43" s="36" t="n">
        <f aca="false">Dati_OPTN!P66/365</f>
        <v>0</v>
      </c>
      <c r="J43" s="47" t="n">
        <f aca="false">I43/Arrivi!H20</f>
        <v>0</v>
      </c>
      <c r="L43" s="33"/>
      <c r="M43" s="34" t="s">
        <v>18</v>
      </c>
      <c r="N43" s="39" t="n">
        <f aca="false">IF(AVERAGE(Dati_OPTN!P66:Y66) &gt; Arrivi!C20, Arrivi!C20, AVERAGE(Dati_OPTN!P66:Y66))</f>
        <v>0.3</v>
      </c>
      <c r="O43" s="35" t="n">
        <f aca="false">N43/365</f>
        <v>0.000821917808219178</v>
      </c>
      <c r="P43" s="36" t="n">
        <f aca="false">N43/Arrivi!C20</f>
        <v>0.18</v>
      </c>
    </row>
    <row r="44" customFormat="false" ht="13.8" hidden="false" customHeight="false" outlineLevel="0" collapsed="false">
      <c r="A44" s="33"/>
      <c r="B44" s="34" t="s">
        <v>20</v>
      </c>
      <c r="C44" s="35" t="n">
        <f aca="false">IF(AVERAGE(Dati_OPTN!P67:U67) &gt; Arrivi!C21, Arrivi!C21, AVERAGE(Dati_OPTN!P67:U67))</f>
        <v>77</v>
      </c>
      <c r="D44" s="35" t="n">
        <f aca="false">Uscite!$C44/365</f>
        <v>0.210958904109589</v>
      </c>
      <c r="E44" s="36" t="n">
        <f aca="false">Uscite!$C44/Arrivi!C21</f>
        <v>0.0732519422863485</v>
      </c>
      <c r="G44" s="33"/>
      <c r="H44" s="34" t="s">
        <v>20</v>
      </c>
      <c r="I44" s="36" t="n">
        <f aca="false">Dati_OPTN!P67/365</f>
        <v>0.238356164383562</v>
      </c>
      <c r="J44" s="47" t="n">
        <f aca="false">I44/Arrivi!H21</f>
        <v>0.075</v>
      </c>
      <c r="L44" s="33"/>
      <c r="M44" s="34" t="s">
        <v>20</v>
      </c>
      <c r="N44" s="39" t="n">
        <f aca="false">IF(AVERAGE(Dati_OPTN!P67:Y67) &gt; Arrivi!C21, Arrivi!C21, AVERAGE(Dati_OPTN!P67:Y67))</f>
        <v>76.1</v>
      </c>
      <c r="O44" s="35" t="n">
        <f aca="false">N44/365</f>
        <v>0.208493150684931</v>
      </c>
      <c r="P44" s="36" t="n">
        <f aca="false">N44/Arrivi!C21</f>
        <v>0.0723957507531314</v>
      </c>
    </row>
    <row r="45" customFormat="false" ht="13.8" hidden="false" customHeight="false" outlineLevel="0" collapsed="false">
      <c r="A45" s="40"/>
      <c r="B45" s="41" t="s">
        <v>22</v>
      </c>
      <c r="C45" s="42" t="n">
        <f aca="false">IF(AVERAGE(Dati_OPTN!P68:U68) &gt; Arrivi!C22, Arrivi!C22, AVERAGE(Dati_OPTN!P68:U68))</f>
        <v>275.833333333333</v>
      </c>
      <c r="D45" s="42" t="n">
        <f aca="false">Uscite!$C45/365</f>
        <v>0.755707762557078</v>
      </c>
      <c r="E45" s="43" t="n">
        <f aca="false">Uscite!$C45/Arrivi!C22</f>
        <v>0.741487455197133</v>
      </c>
      <c r="G45" s="40"/>
      <c r="H45" s="41" t="s">
        <v>22</v>
      </c>
      <c r="I45" s="43" t="n">
        <f aca="false">Dati_OPTN!P68/365</f>
        <v>0.632876712328767</v>
      </c>
      <c r="J45" s="50" t="n">
        <f aca="false">I45/Arrivi!H22</f>
        <v>0.537209302325581</v>
      </c>
      <c r="L45" s="40"/>
      <c r="M45" s="41" t="s">
        <v>22</v>
      </c>
      <c r="N45" s="44" t="n">
        <f aca="false">IF(AVERAGE(Dati_OPTN!P68:Y68) &gt; Arrivi!C22, Arrivi!C22, AVERAGE(Dati_OPTN!P68:Y68))</f>
        <v>241.9</v>
      </c>
      <c r="O45" s="42" t="n">
        <f aca="false">N45/365</f>
        <v>0.662739726027397</v>
      </c>
      <c r="P45" s="43" t="n">
        <f aca="false">N45/Arrivi!C22</f>
        <v>0.650268817204301</v>
      </c>
    </row>
    <row r="46" customFormat="false" ht="13.8" hidden="false" customHeight="false" outlineLevel="0" collapsed="false">
      <c r="A46" s="29"/>
      <c r="B46" s="29"/>
      <c r="C46" s="53"/>
      <c r="D46" s="53"/>
      <c r="E46" s="53"/>
      <c r="G46" s="29"/>
      <c r="H46" s="29"/>
      <c r="I46" s="53"/>
      <c r="J46" s="53"/>
      <c r="L46" s="49"/>
      <c r="M46" s="49"/>
      <c r="N46" s="49"/>
      <c r="O46" s="49"/>
    </row>
    <row r="47" customFormat="false" ht="13.8" hidden="false" customHeight="false" outlineLevel="0" collapsed="false">
      <c r="A47" s="45" t="s">
        <v>59</v>
      </c>
      <c r="B47" s="45"/>
      <c r="C47" s="45"/>
      <c r="D47" s="45"/>
      <c r="E47" s="45"/>
      <c r="F47" s="53"/>
      <c r="G47" s="45" t="s">
        <v>60</v>
      </c>
      <c r="H47" s="45"/>
      <c r="I47" s="45"/>
      <c r="J47" s="45"/>
      <c r="L47" s="45" t="s">
        <v>59</v>
      </c>
      <c r="M47" s="45"/>
      <c r="N47" s="45"/>
      <c r="O47" s="45"/>
      <c r="P47" s="45"/>
      <c r="R47" s="45" t="s">
        <v>61</v>
      </c>
      <c r="S47" s="45"/>
      <c r="T47" s="45"/>
      <c r="U47" s="45"/>
      <c r="V47" s="45"/>
    </row>
    <row r="48" customFormat="false" ht="13.8" hidden="false" customHeight="false" outlineLevel="0" collapsed="false">
      <c r="A48" s="30" t="s">
        <v>2</v>
      </c>
      <c r="B48" s="31" t="s">
        <v>3</v>
      </c>
      <c r="C48" s="32" t="s">
        <v>62</v>
      </c>
      <c r="D48" s="32" t="s">
        <v>63</v>
      </c>
      <c r="E48" s="31" t="s">
        <v>53</v>
      </c>
      <c r="F48" s="53"/>
      <c r="G48" s="30" t="s">
        <v>2</v>
      </c>
      <c r="H48" s="31" t="s">
        <v>3</v>
      </c>
      <c r="I48" s="32" t="s">
        <v>63</v>
      </c>
      <c r="J48" s="31" t="s">
        <v>53</v>
      </c>
      <c r="L48" s="30" t="s">
        <v>2</v>
      </c>
      <c r="M48" s="31" t="s">
        <v>3</v>
      </c>
      <c r="N48" s="32" t="s">
        <v>62</v>
      </c>
      <c r="O48" s="32" t="s">
        <v>63</v>
      </c>
      <c r="P48" s="31" t="s">
        <v>53</v>
      </c>
      <c r="R48" s="30" t="s">
        <v>2</v>
      </c>
      <c r="S48" s="31" t="s">
        <v>3</v>
      </c>
      <c r="T48" s="31" t="s">
        <v>53</v>
      </c>
      <c r="U48" s="31"/>
      <c r="V48" s="31"/>
    </row>
    <row r="49" customFormat="false" ht="13.8" hidden="false" customHeight="false" outlineLevel="0" collapsed="false">
      <c r="A49" s="33" t="s">
        <v>15</v>
      </c>
      <c r="B49" s="34" t="s">
        <v>16</v>
      </c>
      <c r="C49" s="35" t="n">
        <f aca="false">AVERAGE(Dati_OPTN!C49:H49)</f>
        <v>19598.6666666667</v>
      </c>
      <c r="D49" s="35" t="n">
        <f aca="false">Uscite!$C49/365</f>
        <v>53.6949771689498</v>
      </c>
      <c r="E49" s="36" t="n">
        <f aca="false">Uscite!$C49/Arrivi!C3</f>
        <v>0.524126619064174</v>
      </c>
      <c r="F49" s="53"/>
      <c r="G49" s="33" t="s">
        <v>15</v>
      </c>
      <c r="H49" s="34" t="s">
        <v>16</v>
      </c>
      <c r="I49" s="37" t="n">
        <f aca="false">Dati_OPTN!C49/365</f>
        <v>63.8383561643836</v>
      </c>
      <c r="J49" s="38" t="n">
        <f aca="false">I49/Arrivi!H3</f>
        <v>0.561050781344056</v>
      </c>
      <c r="L49" s="33" t="s">
        <v>15</v>
      </c>
      <c r="M49" s="34" t="s">
        <v>16</v>
      </c>
      <c r="N49" s="37" t="n">
        <f aca="false">AVERAGE(Dati_OPTN!C49:L49)</f>
        <v>18179.2</v>
      </c>
      <c r="O49" s="54" t="n">
        <f aca="false">N49/365</f>
        <v>49.8060273972603</v>
      </c>
      <c r="P49" s="38" t="n">
        <f aca="false">N49/Arrivi!C3</f>
        <v>0.486165859920306</v>
      </c>
      <c r="R49" s="33" t="s">
        <v>15</v>
      </c>
      <c r="S49" s="34" t="s">
        <v>16</v>
      </c>
      <c r="T49" s="56" t="n">
        <f aca="false">1-P49</f>
        <v>0.513834140079694</v>
      </c>
      <c r="U49" s="56"/>
      <c r="V49" s="56"/>
    </row>
    <row r="50" customFormat="false" ht="13.8" hidden="false" customHeight="false" outlineLevel="0" collapsed="false">
      <c r="A50" s="33"/>
      <c r="B50" s="34" t="s">
        <v>18</v>
      </c>
      <c r="C50" s="35" t="n">
        <f aca="false">AVERAGE(Dati_OPTN!C50:H50)</f>
        <v>16.5</v>
      </c>
      <c r="D50" s="35" t="n">
        <f aca="false">Uscite!$C50/365</f>
        <v>0.0452054794520548</v>
      </c>
      <c r="E50" s="36" t="n">
        <f aca="false">Uscite!$C50/Arrivi!C4</f>
        <v>0.441964285714286</v>
      </c>
      <c r="G50" s="33"/>
      <c r="H50" s="34" t="s">
        <v>18</v>
      </c>
      <c r="I50" s="39" t="n">
        <f aca="false">Dati_OPTN!C50/365</f>
        <v>0.0465753424657534</v>
      </c>
      <c r="J50" s="36" t="n">
        <f aca="false">I50/Arrivi!H4</f>
        <v>0.414634146341463</v>
      </c>
      <c r="L50" s="33"/>
      <c r="M50" s="34" t="s">
        <v>18</v>
      </c>
      <c r="N50" s="39" t="n">
        <f aca="false">AVERAGE(Dati_OPTN!C50:L50)</f>
        <v>21.2</v>
      </c>
      <c r="O50" s="35" t="n">
        <f aca="false">N50/365</f>
        <v>0.0580821917808219</v>
      </c>
      <c r="P50" s="36" t="n">
        <f aca="false">N50/Arrivi!C4</f>
        <v>0.567857142857143</v>
      </c>
      <c r="R50" s="33"/>
      <c r="S50" s="34" t="s">
        <v>18</v>
      </c>
      <c r="T50" s="56" t="n">
        <f aca="false">1-P50</f>
        <v>0.432142857142857</v>
      </c>
      <c r="U50" s="56"/>
      <c r="V50" s="56"/>
    </row>
    <row r="51" customFormat="false" ht="13.8" hidden="false" customHeight="false" outlineLevel="0" collapsed="false">
      <c r="A51" s="33"/>
      <c r="B51" s="34" t="s">
        <v>20</v>
      </c>
      <c r="C51" s="35" t="n">
        <f aca="false">AVERAGE(Dati_OPTN!C51:H51)</f>
        <v>18036.1666666667</v>
      </c>
      <c r="D51" s="35" t="n">
        <f aca="false">Uscite!$C51/365</f>
        <v>49.4141552511416</v>
      </c>
      <c r="E51" s="36" t="n">
        <f aca="false">Uscite!$C51/Arrivi!C5</f>
        <v>0.64403763636039</v>
      </c>
      <c r="G51" s="33"/>
      <c r="H51" s="34" t="s">
        <v>20</v>
      </c>
      <c r="I51" s="39" t="n">
        <f aca="false">Dati_OPTN!C51/365</f>
        <v>58.8794520547945</v>
      </c>
      <c r="J51" s="36" t="n">
        <f aca="false">I51/Arrivi!H5</f>
        <v>0.690030502488361</v>
      </c>
      <c r="L51" s="33"/>
      <c r="M51" s="34" t="s">
        <v>20</v>
      </c>
      <c r="N51" s="39" t="n">
        <f aca="false">AVERAGE(Dati_OPTN!C51:L51)</f>
        <v>16771.5</v>
      </c>
      <c r="O51" s="35" t="n">
        <f aca="false">N51/365</f>
        <v>45.9493150684932</v>
      </c>
      <c r="P51" s="36" t="n">
        <f aca="false">N51/Arrivi!C5</f>
        <v>0.598878764975094</v>
      </c>
      <c r="R51" s="33"/>
      <c r="S51" s="34" t="s">
        <v>20</v>
      </c>
      <c r="T51" s="56" t="n">
        <f aca="false">1-P51</f>
        <v>0.401121235024906</v>
      </c>
      <c r="U51" s="56"/>
      <c r="V51" s="56"/>
    </row>
    <row r="52" customFormat="false" ht="13.8" hidden="false" customHeight="false" outlineLevel="0" collapsed="false">
      <c r="A52" s="33"/>
      <c r="B52" s="34" t="s">
        <v>22</v>
      </c>
      <c r="C52" s="35" t="n">
        <f aca="false">AVERAGE(Dati_OPTN!C52:H52)</f>
        <v>1546</v>
      </c>
      <c r="D52" s="35" t="n">
        <f aca="false">Uscite!$C52/365</f>
        <v>4.23561643835616</v>
      </c>
      <c r="E52" s="36" t="n">
        <f aca="false">Uscite!$C52/Arrivi!C6</f>
        <v>0.165332858034043</v>
      </c>
      <c r="G52" s="33"/>
      <c r="H52" s="34" t="s">
        <v>22</v>
      </c>
      <c r="I52" s="39" t="n">
        <f aca="false">Dati_OPTN!C52/365</f>
        <v>4.91232876712329</v>
      </c>
      <c r="J52" s="36" t="n">
        <f aca="false">I52/Arrivi!H6</f>
        <v>0.173320444659256</v>
      </c>
      <c r="L52" s="33"/>
      <c r="M52" s="34" t="s">
        <v>22</v>
      </c>
      <c r="N52" s="39" t="n">
        <f aca="false">AVERAGE(Dati_OPTN!C52:L52)</f>
        <v>1386.5</v>
      </c>
      <c r="O52" s="35" t="n">
        <f aca="false">N52/365</f>
        <v>3.7986301369863</v>
      </c>
      <c r="P52" s="36" t="n">
        <f aca="false">N52/Arrivi!C6</f>
        <v>0.14827555476339</v>
      </c>
      <c r="R52" s="33"/>
      <c r="S52" s="34" t="s">
        <v>22</v>
      </c>
      <c r="T52" s="56" t="n">
        <f aca="false">1-P52</f>
        <v>0.85172444523661</v>
      </c>
      <c r="U52" s="56"/>
      <c r="V52" s="56"/>
    </row>
    <row r="53" customFormat="false" ht="13.8" hidden="false" customHeight="false" outlineLevel="0" collapsed="false">
      <c r="A53" s="33" t="s">
        <v>23</v>
      </c>
      <c r="B53" s="34" t="s">
        <v>16</v>
      </c>
      <c r="C53" s="35" t="n">
        <f aca="false">AVERAGE(Dati_OPTN!C53:H53)</f>
        <v>8851.66666666667</v>
      </c>
      <c r="D53" s="35" t="n">
        <f aca="false">Uscite!$C53/365</f>
        <v>24.2511415525114</v>
      </c>
      <c r="E53" s="36" t="n">
        <f aca="false">Uscite!$C53/Arrivi!C7</f>
        <v>0.485359701710776</v>
      </c>
      <c r="G53" s="33" t="s">
        <v>23</v>
      </c>
      <c r="H53" s="34" t="s">
        <v>16</v>
      </c>
      <c r="I53" s="39" t="n">
        <f aca="false">Dati_OPTN!C53/365</f>
        <v>28.9698630136986</v>
      </c>
      <c r="J53" s="36" t="n">
        <f aca="false">I53/Arrivi!H7</f>
        <v>0.51991346248402</v>
      </c>
      <c r="L53" s="33" t="s">
        <v>23</v>
      </c>
      <c r="M53" s="34" t="s">
        <v>16</v>
      </c>
      <c r="N53" s="39" t="n">
        <f aca="false">AVERAGE(Dati_OPTN!C53:L53)</f>
        <v>8204</v>
      </c>
      <c r="O53" s="35" t="n">
        <f aca="false">N53/365</f>
        <v>22.4767123287671</v>
      </c>
      <c r="P53" s="36" t="n">
        <f aca="false">N53/Arrivi!C7</f>
        <v>0.449846468781986</v>
      </c>
      <c r="R53" s="33" t="s">
        <v>23</v>
      </c>
      <c r="S53" s="34" t="s">
        <v>16</v>
      </c>
      <c r="T53" s="56" t="n">
        <f aca="false">1-P53</f>
        <v>0.550153531218014</v>
      </c>
      <c r="U53" s="56"/>
      <c r="V53" s="56"/>
    </row>
    <row r="54" customFormat="false" ht="13.8" hidden="false" customHeight="false" outlineLevel="0" collapsed="false">
      <c r="A54" s="33"/>
      <c r="B54" s="34" t="s">
        <v>18</v>
      </c>
      <c r="C54" s="35" t="n">
        <f aca="false">AVERAGE(Dati_OPTN!C54:H54)</f>
        <v>7.5</v>
      </c>
      <c r="D54" s="35" t="n">
        <f aca="false">Uscite!$C54/365</f>
        <v>0.0205479452054794</v>
      </c>
      <c r="E54" s="36" t="n">
        <f aca="false">Uscite!$C54/Arrivi!C8</f>
        <v>0.394736842105263</v>
      </c>
      <c r="G54" s="33"/>
      <c r="H54" s="34" t="s">
        <v>18</v>
      </c>
      <c r="I54" s="39" t="n">
        <f aca="false">Dati_OPTN!C54/365</f>
        <v>0.0191780821917808</v>
      </c>
      <c r="J54" s="36" t="n">
        <f aca="false">I54/Arrivi!H8</f>
        <v>0.368421052631579</v>
      </c>
      <c r="L54" s="33"/>
      <c r="M54" s="34" t="s">
        <v>18</v>
      </c>
      <c r="N54" s="39" t="n">
        <f aca="false">AVERAGE(Dati_OPTN!C54:L54)</f>
        <v>10</v>
      </c>
      <c r="O54" s="35" t="n">
        <f aca="false">N54/365</f>
        <v>0.0273972602739726</v>
      </c>
      <c r="P54" s="36" t="n">
        <f aca="false">N54/Arrivi!C8</f>
        <v>0.526315789473684</v>
      </c>
      <c r="R54" s="33"/>
      <c r="S54" s="34" t="s">
        <v>18</v>
      </c>
      <c r="T54" s="56" t="n">
        <f aca="false">1-P54</f>
        <v>0.473684210526316</v>
      </c>
      <c r="U54" s="56"/>
      <c r="V54" s="56"/>
    </row>
    <row r="55" customFormat="false" ht="13.8" hidden="false" customHeight="false" outlineLevel="0" collapsed="false">
      <c r="A55" s="33"/>
      <c r="B55" s="34" t="s">
        <v>20</v>
      </c>
      <c r="C55" s="35" t="n">
        <f aca="false">AVERAGE(Dati_OPTN!C55:H55)</f>
        <v>8187</v>
      </c>
      <c r="D55" s="35" t="n">
        <f aca="false">Uscite!$C55/365</f>
        <v>22.4301369863014</v>
      </c>
      <c r="E55" s="36" t="n">
        <f aca="false">Uscite!$C55/Arrivi!C9</f>
        <v>0.595273873000485</v>
      </c>
      <c r="G55" s="33"/>
      <c r="H55" s="34" t="s">
        <v>20</v>
      </c>
      <c r="I55" s="39" t="n">
        <f aca="false">Dati_OPTN!C55/365</f>
        <v>26.8876712328767</v>
      </c>
      <c r="J55" s="36" t="n">
        <f aca="false">I55/Arrivi!H9</f>
        <v>0.638018463138734</v>
      </c>
      <c r="L55" s="33"/>
      <c r="M55" s="34" t="s">
        <v>20</v>
      </c>
      <c r="N55" s="39" t="n">
        <f aca="false">AVERAGE(Dati_OPTN!C55:L55)</f>
        <v>7605</v>
      </c>
      <c r="O55" s="35" t="n">
        <f aca="false">N55/365</f>
        <v>20.8356164383562</v>
      </c>
      <c r="P55" s="36" t="n">
        <f aca="false">N55/Arrivi!C9</f>
        <v>0.552956858943286</v>
      </c>
      <c r="R55" s="33"/>
      <c r="S55" s="34" t="s">
        <v>20</v>
      </c>
      <c r="T55" s="56" t="n">
        <f aca="false">1-P55</f>
        <v>0.447043141056713</v>
      </c>
      <c r="U55" s="56"/>
      <c r="V55" s="56"/>
    </row>
    <row r="56" customFormat="false" ht="13.8" hidden="false" customHeight="false" outlineLevel="0" collapsed="false">
      <c r="A56" s="33"/>
      <c r="B56" s="34" t="s">
        <v>22</v>
      </c>
      <c r="C56" s="35" t="n">
        <f aca="false">AVERAGE(Dati_OPTN!C56:H56)</f>
        <v>657.166666666667</v>
      </c>
      <c r="D56" s="35" t="n">
        <f aca="false">Uscite!$C56/365</f>
        <v>1.80045662100457</v>
      </c>
      <c r="E56" s="36" t="n">
        <f aca="false">Uscite!$C56/Arrivi!C10</f>
        <v>0.147181784247854</v>
      </c>
      <c r="G56" s="33"/>
      <c r="H56" s="34" t="s">
        <v>22</v>
      </c>
      <c r="I56" s="39" t="n">
        <f aca="false">Dati_OPTN!C56/365</f>
        <v>2.06301369863014</v>
      </c>
      <c r="J56" s="36" t="n">
        <f aca="false">I56/Arrivi!H10</f>
        <v>0.152521774356897</v>
      </c>
      <c r="L56" s="33"/>
      <c r="M56" s="34" t="s">
        <v>22</v>
      </c>
      <c r="N56" s="39" t="n">
        <f aca="false">AVERAGE(Dati_OPTN!C56:L56)</f>
        <v>589</v>
      </c>
      <c r="O56" s="35" t="n">
        <f aca="false">N56/365</f>
        <v>1.61369863013699</v>
      </c>
      <c r="P56" s="36" t="n">
        <f aca="false">N56/Arrivi!C10</f>
        <v>0.131914893617021</v>
      </c>
      <c r="R56" s="33"/>
      <c r="S56" s="34" t="s">
        <v>22</v>
      </c>
      <c r="T56" s="56" t="n">
        <f aca="false">1-P56</f>
        <v>0.868085106382979</v>
      </c>
      <c r="U56" s="56"/>
      <c r="V56" s="56"/>
    </row>
    <row r="57" customFormat="false" ht="13.8" hidden="false" customHeight="false" outlineLevel="0" collapsed="false">
      <c r="A57" s="33" t="s">
        <v>24</v>
      </c>
      <c r="B57" s="34" t="s">
        <v>16</v>
      </c>
      <c r="C57" s="35" t="n">
        <f aca="false">AVERAGE(Dati_OPTN!C57:H57)</f>
        <v>7104.66666666667</v>
      </c>
      <c r="D57" s="35" t="n">
        <f aca="false">Uscite!$C57/365</f>
        <v>19.4648401826484</v>
      </c>
      <c r="E57" s="36" t="n">
        <f aca="false">Uscite!$C57/Arrivi!C11</f>
        <v>0.583873221109726</v>
      </c>
      <c r="G57" s="33" t="s">
        <v>24</v>
      </c>
      <c r="H57" s="34" t="s">
        <v>16</v>
      </c>
      <c r="I57" s="39" t="n">
        <f aca="false">Dati_OPTN!C57/365</f>
        <v>22.8328767123288</v>
      </c>
      <c r="J57" s="36" t="n">
        <f aca="false">I57/Arrivi!H11</f>
        <v>0.619444031514791</v>
      </c>
      <c r="L57" s="33" t="s">
        <v>24</v>
      </c>
      <c r="M57" s="34" t="s">
        <v>16</v>
      </c>
      <c r="N57" s="39" t="n">
        <f aca="false">AVERAGE(Dati_OPTN!C57:L57)</f>
        <v>6619.6</v>
      </c>
      <c r="O57" s="35" t="n">
        <f aca="false">N57/365</f>
        <v>18.1358904109589</v>
      </c>
      <c r="P57" s="36" t="n">
        <f aca="false">N57/Arrivi!C11</f>
        <v>0.544009642646797</v>
      </c>
      <c r="R57" s="33" t="s">
        <v>24</v>
      </c>
      <c r="S57" s="34" t="s">
        <v>16</v>
      </c>
      <c r="T57" s="56" t="n">
        <f aca="false">1-P57</f>
        <v>0.455990357353203</v>
      </c>
      <c r="U57" s="56"/>
      <c r="V57" s="56"/>
    </row>
    <row r="58" customFormat="false" ht="13.8" hidden="false" customHeight="false" outlineLevel="0" collapsed="false">
      <c r="A58" s="33"/>
      <c r="B58" s="34" t="s">
        <v>18</v>
      </c>
      <c r="C58" s="35" t="n">
        <f aca="false">AVERAGE(Dati_OPTN!C58:H58)</f>
        <v>4.33333333333333</v>
      </c>
      <c r="D58" s="35" t="n">
        <f aca="false">Uscite!$C58/365</f>
        <v>0.0118721461187215</v>
      </c>
      <c r="E58" s="36" t="n">
        <f aca="false">Uscite!$C58/Arrivi!C12</f>
        <v>0.40625</v>
      </c>
      <c r="G58" s="33"/>
      <c r="H58" s="34" t="s">
        <v>18</v>
      </c>
      <c r="I58" s="39" t="n">
        <f aca="false">Dati_OPTN!C58/365</f>
        <v>0.0136986301369863</v>
      </c>
      <c r="J58" s="36" t="n">
        <f aca="false">I58/Arrivi!H12</f>
        <v>0.5</v>
      </c>
      <c r="L58" s="33"/>
      <c r="M58" s="34" t="s">
        <v>18</v>
      </c>
      <c r="N58" s="39" t="n">
        <f aca="false">AVERAGE(Dati_OPTN!C58:L58)</f>
        <v>6</v>
      </c>
      <c r="O58" s="35" t="n">
        <f aca="false">N58/365</f>
        <v>0.0164383561643836</v>
      </c>
      <c r="P58" s="36" t="n">
        <f aca="false">N58/Arrivi!C12</f>
        <v>0.5625</v>
      </c>
      <c r="R58" s="33"/>
      <c r="S58" s="34" t="s">
        <v>18</v>
      </c>
      <c r="T58" s="56" t="n">
        <f aca="false">1-P58</f>
        <v>0.4375</v>
      </c>
      <c r="U58" s="56"/>
      <c r="V58" s="56"/>
    </row>
    <row r="59" customFormat="false" ht="13.8" hidden="false" customHeight="false" outlineLevel="0" collapsed="false">
      <c r="A59" s="33"/>
      <c r="B59" s="34" t="s">
        <v>20</v>
      </c>
      <c r="C59" s="35" t="n">
        <f aca="false">AVERAGE(Dati_OPTN!C59:H59)</f>
        <v>6475</v>
      </c>
      <c r="D59" s="35" t="n">
        <f aca="false">Uscite!$C59/365</f>
        <v>17.7397260273973</v>
      </c>
      <c r="E59" s="36" t="n">
        <f aca="false">Uscite!$C59/Arrivi!C13</f>
        <v>0.71919139562006</v>
      </c>
      <c r="G59" s="33"/>
      <c r="H59" s="34" t="s">
        <v>20</v>
      </c>
      <c r="I59" s="39" t="n">
        <f aca="false">Dati_OPTN!C59/365</f>
        <v>20.8602739726027</v>
      </c>
      <c r="J59" s="36" t="n">
        <f aca="false">I59/Arrivi!H13</f>
        <v>0.767927382753404</v>
      </c>
      <c r="L59" s="33"/>
      <c r="M59" s="34" t="s">
        <v>20</v>
      </c>
      <c r="N59" s="39" t="n">
        <f aca="false">AVERAGE(Dati_OPTN!C59:L59)</f>
        <v>6052</v>
      </c>
      <c r="O59" s="35" t="n">
        <f aca="false">N59/365</f>
        <v>16.5808219178082</v>
      </c>
      <c r="P59" s="36" t="n">
        <f aca="false">N59/Arrivi!C13</f>
        <v>0.672207926840556</v>
      </c>
      <c r="R59" s="33"/>
      <c r="S59" s="34" t="s">
        <v>20</v>
      </c>
      <c r="T59" s="56" t="n">
        <f aca="false">1-P59</f>
        <v>0.327792073159444</v>
      </c>
      <c r="U59" s="56"/>
      <c r="V59" s="56"/>
    </row>
    <row r="60" customFormat="false" ht="13.8" hidden="false" customHeight="false" outlineLevel="0" collapsed="false">
      <c r="A60" s="33"/>
      <c r="B60" s="34" t="s">
        <v>22</v>
      </c>
      <c r="C60" s="35" t="n">
        <f aca="false">AVERAGE(Dati_OPTN!C60:H60)</f>
        <v>625.333333333333</v>
      </c>
      <c r="D60" s="35" t="n">
        <f aca="false">Uscite!$C60/365</f>
        <v>1.71324200913242</v>
      </c>
      <c r="E60" s="36" t="n">
        <f aca="false">Uscite!$C60/Arrivi!C14</f>
        <v>0.198245799429356</v>
      </c>
      <c r="G60" s="33"/>
      <c r="H60" s="34" t="s">
        <v>22</v>
      </c>
      <c r="I60" s="39" t="n">
        <f aca="false">Dati_OPTN!C60/365</f>
        <v>1.95890410958904</v>
      </c>
      <c r="J60" s="36" t="n">
        <f aca="false">I60/Arrivi!H14</f>
        <v>0.202606970813262</v>
      </c>
      <c r="L60" s="33"/>
      <c r="M60" s="34" t="s">
        <v>22</v>
      </c>
      <c r="N60" s="39" t="n">
        <f aca="false">AVERAGE(Dati_OPTN!C60:L60)</f>
        <v>561.6</v>
      </c>
      <c r="O60" s="35" t="n">
        <f aca="false">N60/365</f>
        <v>1.5386301369863</v>
      </c>
      <c r="P60" s="36" t="n">
        <f aca="false">N60/Arrivi!C14</f>
        <v>0.178040790447004</v>
      </c>
      <c r="R60" s="33"/>
      <c r="S60" s="34" t="s">
        <v>22</v>
      </c>
      <c r="T60" s="56" t="n">
        <f aca="false">1-P60</f>
        <v>0.821959209552996</v>
      </c>
      <c r="U60" s="56"/>
      <c r="V60" s="56"/>
    </row>
    <row r="61" customFormat="false" ht="13.8" hidden="false" customHeight="false" outlineLevel="0" collapsed="false">
      <c r="A61" s="33" t="s">
        <v>25</v>
      </c>
      <c r="B61" s="34" t="s">
        <v>16</v>
      </c>
      <c r="C61" s="35" t="n">
        <f aca="false">AVERAGE(Dati_OPTN!C61:H61)</f>
        <v>2683.5</v>
      </c>
      <c r="D61" s="35" t="n">
        <f aca="false">Uscite!$C61/365</f>
        <v>7.35205479452055</v>
      </c>
      <c r="E61" s="36" t="n">
        <f aca="false">Uscite!$C61/Arrivi!C15</f>
        <v>0.482340253437584</v>
      </c>
      <c r="G61" s="33" t="s">
        <v>25</v>
      </c>
      <c r="H61" s="34" t="s">
        <v>16</v>
      </c>
      <c r="I61" s="39" t="n">
        <f aca="false">Dati_OPTN!C61/365</f>
        <v>8.82739726027397</v>
      </c>
      <c r="J61" s="36" t="n">
        <f aca="false">I61/Arrivi!H15</f>
        <v>0.524072869225764</v>
      </c>
      <c r="L61" s="33" t="s">
        <v>25</v>
      </c>
      <c r="M61" s="34" t="s">
        <v>16</v>
      </c>
      <c r="N61" s="39" t="n">
        <f aca="false">AVERAGE(Dati_OPTN!C61:L61)</f>
        <v>2458.9</v>
      </c>
      <c r="O61" s="35" t="n">
        <f aca="false">N61/365</f>
        <v>6.73671232876712</v>
      </c>
      <c r="P61" s="36" t="n">
        <f aca="false">N61/Arrivi!C15</f>
        <v>0.441969982924418</v>
      </c>
      <c r="R61" s="33" t="s">
        <v>25</v>
      </c>
      <c r="S61" s="34" t="s">
        <v>16</v>
      </c>
      <c r="T61" s="56" t="n">
        <f aca="false">1-P61</f>
        <v>0.558030017075582</v>
      </c>
      <c r="U61" s="56"/>
      <c r="V61" s="56"/>
    </row>
    <row r="62" customFormat="false" ht="13.8" hidden="false" customHeight="false" outlineLevel="0" collapsed="false">
      <c r="A62" s="33"/>
      <c r="B62" s="34" t="s">
        <v>18</v>
      </c>
      <c r="C62" s="35" t="n">
        <f aca="false">AVERAGE(Dati_OPTN!C62:H62)</f>
        <v>3.83333333333333</v>
      </c>
      <c r="D62" s="35" t="n">
        <f aca="false">Uscite!$C62/365</f>
        <v>0.0105022831050228</v>
      </c>
      <c r="E62" s="36" t="n">
        <f aca="false">Uscite!$C62/Arrivi!C16</f>
        <v>0.638888888888889</v>
      </c>
      <c r="G62" s="33"/>
      <c r="H62" s="34" t="s">
        <v>18</v>
      </c>
      <c r="I62" s="39" t="n">
        <f aca="false">Dati_OPTN!C62/365</f>
        <v>0.00547945205479452</v>
      </c>
      <c r="J62" s="36" t="n">
        <f aca="false">I62/Arrivi!H16</f>
        <v>0.2</v>
      </c>
      <c r="L62" s="33"/>
      <c r="M62" s="34" t="s">
        <v>18</v>
      </c>
      <c r="N62" s="39" t="n">
        <f aca="false">AVERAGE(Dati_OPTN!C62:L62)</f>
        <v>4.3</v>
      </c>
      <c r="O62" s="35" t="n">
        <f aca="false">N62/365</f>
        <v>0.0117808219178082</v>
      </c>
      <c r="P62" s="36" t="n">
        <f aca="false">N62/Arrivi!C16</f>
        <v>0.716666666666667</v>
      </c>
      <c r="R62" s="33"/>
      <c r="S62" s="34" t="s">
        <v>18</v>
      </c>
      <c r="T62" s="56" t="n">
        <f aca="false">1-P62</f>
        <v>0.283333333333333</v>
      </c>
      <c r="U62" s="56"/>
      <c r="V62" s="56"/>
    </row>
    <row r="63" customFormat="false" ht="13.8" hidden="false" customHeight="false" outlineLevel="0" collapsed="false">
      <c r="A63" s="33"/>
      <c r="B63" s="34" t="s">
        <v>20</v>
      </c>
      <c r="C63" s="35" t="n">
        <f aca="false">AVERAGE(Dati_OPTN!C63:H63)</f>
        <v>2481.5</v>
      </c>
      <c r="D63" s="35" t="n">
        <f aca="false">Uscite!$C63/365</f>
        <v>6.7986301369863</v>
      </c>
      <c r="E63" s="36" t="n">
        <f aca="false">Uscite!$C63/Arrivi!C17</f>
        <v>0.591114816579324</v>
      </c>
      <c r="G63" s="33"/>
      <c r="H63" s="34" t="s">
        <v>20</v>
      </c>
      <c r="I63" s="39" t="n">
        <f aca="false">Dati_OPTN!C63/365</f>
        <v>8.11780821917808</v>
      </c>
      <c r="J63" s="36" t="n">
        <f aca="false">I63/Arrivi!H17</f>
        <v>0.63190445724035</v>
      </c>
      <c r="L63" s="33"/>
      <c r="M63" s="34" t="s">
        <v>20</v>
      </c>
      <c r="N63" s="39" t="n">
        <f aca="false">AVERAGE(Dati_OPTN!C63:L63)</f>
        <v>2279.5</v>
      </c>
      <c r="O63" s="35" t="n">
        <f aca="false">N63/365</f>
        <v>6.24520547945205</v>
      </c>
      <c r="P63" s="36" t="n">
        <f aca="false">N63/Arrivi!C17</f>
        <v>0.542996665078609</v>
      </c>
      <c r="R63" s="33"/>
      <c r="S63" s="34" t="s">
        <v>20</v>
      </c>
      <c r="T63" s="56" t="n">
        <f aca="false">1-P63</f>
        <v>0.457003334921391</v>
      </c>
      <c r="U63" s="56"/>
      <c r="V63" s="56"/>
    </row>
    <row r="64" customFormat="false" ht="13.8" hidden="false" customHeight="false" outlineLevel="0" collapsed="false">
      <c r="A64" s="33"/>
      <c r="B64" s="34" t="s">
        <v>22</v>
      </c>
      <c r="C64" s="35" t="n">
        <f aca="false">AVERAGE(Dati_OPTN!C64:H64)</f>
        <v>198.166666666667</v>
      </c>
      <c r="D64" s="35" t="n">
        <f aca="false">Uscite!$C64/365</f>
        <v>0.542922374429224</v>
      </c>
      <c r="E64" s="36" t="n">
        <f aca="false">Uscite!$C64/Arrivi!C18</f>
        <v>0.145764374157166</v>
      </c>
      <c r="G64" s="33"/>
      <c r="H64" s="34" t="s">
        <v>22</v>
      </c>
      <c r="I64" s="39" t="n">
        <f aca="false">Dati_OPTN!C64/365</f>
        <v>0.704109589041096</v>
      </c>
      <c r="J64" s="36" t="n">
        <f aca="false">I64/Arrivi!H18</f>
        <v>0.17736369910283</v>
      </c>
      <c r="L64" s="33"/>
      <c r="M64" s="34" t="s">
        <v>22</v>
      </c>
      <c r="N64" s="39" t="n">
        <f aca="false">AVERAGE(Dati_OPTN!C64:L64)</f>
        <v>175.1</v>
      </c>
      <c r="O64" s="35" t="n">
        <f aca="false">N64/365</f>
        <v>0.47972602739726</v>
      </c>
      <c r="P64" s="36" t="n">
        <f aca="false">N64/Arrivi!C18</f>
        <v>0.128797351967635</v>
      </c>
      <c r="R64" s="33"/>
      <c r="S64" s="34" t="s">
        <v>22</v>
      </c>
      <c r="T64" s="56" t="n">
        <f aca="false">1-P64</f>
        <v>0.871202648032365</v>
      </c>
      <c r="U64" s="56"/>
      <c r="V64" s="56"/>
    </row>
    <row r="65" customFormat="false" ht="13.8" hidden="false" customHeight="false" outlineLevel="0" collapsed="false">
      <c r="A65" s="33" t="s">
        <v>26</v>
      </c>
      <c r="B65" s="34" t="s">
        <v>16</v>
      </c>
      <c r="C65" s="35" t="n">
        <f aca="false">AVERAGE(Dati_OPTN!C65:H65)</f>
        <v>958.833333333333</v>
      </c>
      <c r="D65" s="35" t="n">
        <f aca="false">Uscite!$C65/365</f>
        <v>2.62694063926941</v>
      </c>
      <c r="E65" s="36" t="n">
        <f aca="false">Uscite!$C65/Arrivi!C19</f>
        <v>0.672944204000468</v>
      </c>
      <c r="G65" s="33" t="s">
        <v>26</v>
      </c>
      <c r="H65" s="34" t="s">
        <v>16</v>
      </c>
      <c r="I65" s="39" t="n">
        <f aca="false">Dati_OPTN!C65/365</f>
        <v>3.20821917808219</v>
      </c>
      <c r="J65" s="36" t="n">
        <f aca="false">I65/Arrivi!H19</f>
        <v>0.735552763819096</v>
      </c>
      <c r="L65" s="33" t="s">
        <v>26</v>
      </c>
      <c r="M65" s="34" t="s">
        <v>16</v>
      </c>
      <c r="N65" s="39" t="n">
        <f aca="false">AVERAGE(Dati_OPTN!C65:L65)</f>
        <v>896.7</v>
      </c>
      <c r="O65" s="35" t="n">
        <f aca="false">N65/365</f>
        <v>2.45671232876712</v>
      </c>
      <c r="P65" s="36" t="n">
        <f aca="false">N65/Arrivi!C19</f>
        <v>0.629336764533864</v>
      </c>
      <c r="R65" s="33" t="s">
        <v>26</v>
      </c>
      <c r="S65" s="34" t="s">
        <v>16</v>
      </c>
      <c r="T65" s="56" t="n">
        <f aca="false">1-P65</f>
        <v>0.370663235466136</v>
      </c>
      <c r="U65" s="56"/>
      <c r="V65" s="56"/>
    </row>
    <row r="66" customFormat="false" ht="13.8" hidden="false" customHeight="false" outlineLevel="0" collapsed="false">
      <c r="A66" s="33"/>
      <c r="B66" s="34" t="s">
        <v>18</v>
      </c>
      <c r="C66" s="35" t="n">
        <f aca="false">AVERAGE(Dati_OPTN!C66:H66)</f>
        <v>0.833333333333333</v>
      </c>
      <c r="D66" s="35" t="n">
        <f aca="false">Uscite!$C66/365</f>
        <v>0.00228310502283105</v>
      </c>
      <c r="E66" s="36" t="n">
        <f aca="false">Uscite!$C66/Arrivi!C20</f>
        <v>0.5</v>
      </c>
      <c r="G66" s="33"/>
      <c r="H66" s="34" t="s">
        <v>18</v>
      </c>
      <c r="I66" s="39" t="n">
        <f aca="false">Dati_OPTN!C66/365</f>
        <v>0.00821917808219178</v>
      </c>
      <c r="J66" s="36" t="n">
        <f aca="false">I66/Arrivi!H20</f>
        <v>1.5</v>
      </c>
      <c r="L66" s="33"/>
      <c r="M66" s="34" t="s">
        <v>18</v>
      </c>
      <c r="N66" s="39" t="n">
        <f aca="false">AVERAGE(Dati_OPTN!C66:L66)</f>
        <v>0.9</v>
      </c>
      <c r="O66" s="35" t="n">
        <f aca="false">N66/365</f>
        <v>0.00246575342465753</v>
      </c>
      <c r="P66" s="36" t="n">
        <f aca="false">N66/Arrivi!C20</f>
        <v>0.54</v>
      </c>
      <c r="R66" s="33"/>
      <c r="S66" s="34" t="s">
        <v>18</v>
      </c>
      <c r="T66" s="56" t="n">
        <f aca="false">1-P66</f>
        <v>0.46</v>
      </c>
      <c r="U66" s="56"/>
      <c r="V66" s="56"/>
    </row>
    <row r="67" customFormat="false" ht="13.8" hidden="false" customHeight="false" outlineLevel="0" collapsed="false">
      <c r="A67" s="33"/>
      <c r="B67" s="34" t="s">
        <v>20</v>
      </c>
      <c r="C67" s="35" t="n">
        <f aca="false">AVERAGE(Dati_OPTN!C67:H67)</f>
        <v>892.666666666667</v>
      </c>
      <c r="D67" s="35" t="n">
        <f aca="false">Uscite!$C67/365</f>
        <v>2.44566210045662</v>
      </c>
      <c r="E67" s="36" t="n">
        <f aca="false">Uscite!$C67/Arrivi!C21</f>
        <v>0.849215157761218</v>
      </c>
      <c r="G67" s="33"/>
      <c r="H67" s="34" t="s">
        <v>20</v>
      </c>
      <c r="I67" s="39" t="n">
        <f aca="false">Dati_OPTN!C67/365</f>
        <v>3.01369863013699</v>
      </c>
      <c r="J67" s="36" t="n">
        <f aca="false">I67/Arrivi!H21</f>
        <v>0.948275862068966</v>
      </c>
      <c r="L67" s="33"/>
      <c r="M67" s="34" t="s">
        <v>20</v>
      </c>
      <c r="N67" s="39" t="n">
        <f aca="false">AVERAGE(Dati_OPTN!C67:L67)</f>
        <v>835</v>
      </c>
      <c r="O67" s="35" t="n">
        <f aca="false">N67/365</f>
        <v>2.28767123287671</v>
      </c>
      <c r="P67" s="36" t="n">
        <f aca="false">N67/Arrivi!C21</f>
        <v>0.794355478040273</v>
      </c>
      <c r="R67" s="33"/>
      <c r="S67" s="34" t="s">
        <v>20</v>
      </c>
      <c r="T67" s="56" t="n">
        <f aca="false">1-P67</f>
        <v>0.205644521959727</v>
      </c>
      <c r="U67" s="56"/>
      <c r="V67" s="56"/>
    </row>
    <row r="68" customFormat="false" ht="13.8" hidden="false" customHeight="false" outlineLevel="0" collapsed="false">
      <c r="A68" s="40"/>
      <c r="B68" s="41" t="s">
        <v>22</v>
      </c>
      <c r="C68" s="42" t="n">
        <f aca="false">AVERAGE(Dati_OPTN!C68:H68)</f>
        <v>65.3333333333333</v>
      </c>
      <c r="D68" s="42" t="n">
        <f aca="false">Uscite!$C68/365</f>
        <v>0.178995433789954</v>
      </c>
      <c r="E68" s="43" t="n">
        <f aca="false">Uscite!$C68/Arrivi!C22</f>
        <v>0.175627240143369</v>
      </c>
      <c r="G68" s="40"/>
      <c r="H68" s="41" t="s">
        <v>22</v>
      </c>
      <c r="I68" s="44" t="n">
        <f aca="false">Dati_OPTN!C68/365</f>
        <v>0.186301369863014</v>
      </c>
      <c r="J68" s="43" t="n">
        <f aca="false">I68/Arrivi!H22</f>
        <v>0.158139534883721</v>
      </c>
      <c r="L68" s="40"/>
      <c r="M68" s="41" t="s">
        <v>22</v>
      </c>
      <c r="N68" s="44" t="n">
        <f aca="false">AVERAGE(Dati_OPTN!C68:L68)</f>
        <v>60.8</v>
      </c>
      <c r="O68" s="42" t="n">
        <f aca="false">N68/365</f>
        <v>0.166575342465753</v>
      </c>
      <c r="P68" s="43" t="n">
        <f aca="false">N68/Arrivi!C22</f>
        <v>0.163440860215054</v>
      </c>
      <c r="R68" s="40"/>
      <c r="S68" s="41" t="s">
        <v>22</v>
      </c>
      <c r="T68" s="56" t="n">
        <f aca="false">1-P68</f>
        <v>0.836559139784946</v>
      </c>
      <c r="U68" s="56"/>
      <c r="V68" s="56"/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</sheetData>
  <mergeCells count="31">
    <mergeCell ref="A1:E1"/>
    <mergeCell ref="G1:J1"/>
    <mergeCell ref="L1:P1"/>
    <mergeCell ref="A24:E24"/>
    <mergeCell ref="G24:J24"/>
    <mergeCell ref="L24:P24"/>
    <mergeCell ref="A47:E47"/>
    <mergeCell ref="G47:J47"/>
    <mergeCell ref="L47:P47"/>
    <mergeCell ref="R47:V47"/>
    <mergeCell ref="T48:V48"/>
    <mergeCell ref="T49:V49"/>
    <mergeCell ref="T50:V50"/>
    <mergeCell ref="T51:V51"/>
    <mergeCell ref="T52:V52"/>
    <mergeCell ref="T53:V53"/>
    <mergeCell ref="T54:V54"/>
    <mergeCell ref="T55:V55"/>
    <mergeCell ref="T56:V56"/>
    <mergeCell ref="T57:V57"/>
    <mergeCell ref="T58:V58"/>
    <mergeCell ref="T59:V59"/>
    <mergeCell ref="T60:V60"/>
    <mergeCell ref="T61:V61"/>
    <mergeCell ref="T62:V62"/>
    <mergeCell ref="T63:V63"/>
    <mergeCell ref="T64:V64"/>
    <mergeCell ref="T65:V65"/>
    <mergeCell ref="T66:V66"/>
    <mergeCell ref="T67:V67"/>
    <mergeCell ref="T68:V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K47" activeCellId="0" sqref="K47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14.01"/>
    <col collapsed="false" customWidth="true" hidden="false" outlineLevel="0" max="3" min="3" style="0" width="20.57"/>
    <col collapsed="false" customWidth="true" hidden="false" outlineLevel="0" max="4" min="4" style="0" width="22.01"/>
    <col collapsed="false" customWidth="true" hidden="false" outlineLevel="0" max="5" min="5" style="0" width="23.15"/>
    <col collapsed="false" customWidth="true" hidden="false" outlineLevel="0" max="6" min="6" style="0" width="26.13"/>
    <col collapsed="false" customWidth="true" hidden="false" outlineLevel="0" max="7" min="7" style="0" width="26.71"/>
    <col collapsed="false" customWidth="true" hidden="false" outlineLevel="0" max="8" min="8" style="0" width="27.12"/>
    <col collapsed="false" customWidth="true" hidden="false" outlineLevel="0" max="9" min="9" style="0" width="26.13"/>
    <col collapsed="false" customWidth="true" hidden="false" outlineLevel="0" max="10" min="10" style="0" width="27.71"/>
    <col collapsed="false" customWidth="true" hidden="false" outlineLevel="0" max="11" min="11" style="0" width="14.15"/>
    <col collapsed="false" customWidth="true" hidden="false" outlineLevel="0" max="12" min="12" style="0" width="29.42"/>
    <col collapsed="false" customWidth="true" hidden="false" outlineLevel="0" max="13" min="13" style="0" width="13.14"/>
    <col collapsed="false" customWidth="true" hidden="false" outlineLevel="0" max="14" min="14" style="0" width="16.71"/>
  </cols>
  <sheetData>
    <row r="1" customFormat="false" ht="15.75" hidden="false" customHeight="false" outlineLevel="0" collapsed="false">
      <c r="A1" s="57" t="s">
        <v>64</v>
      </c>
      <c r="B1" s="57"/>
      <c r="C1" s="57"/>
      <c r="D1" s="57"/>
      <c r="E1" s="57"/>
      <c r="F1" s="57"/>
      <c r="G1" s="57"/>
      <c r="H1" s="57"/>
      <c r="J1" s="57" t="s">
        <v>65</v>
      </c>
      <c r="K1" s="57"/>
      <c r="L1" s="57"/>
    </row>
    <row r="2" customFormat="false" ht="15.75" hidden="false" customHeight="false" outlineLevel="0" collapsed="false">
      <c r="A2" s="58" t="s">
        <v>2</v>
      </c>
      <c r="B2" s="59" t="s">
        <v>66</v>
      </c>
      <c r="C2" s="60" t="s">
        <v>67</v>
      </c>
      <c r="D2" s="60" t="s">
        <v>68</v>
      </c>
      <c r="E2" s="61" t="s">
        <v>69</v>
      </c>
      <c r="F2" s="62" t="s">
        <v>70</v>
      </c>
      <c r="G2" s="58" t="s">
        <v>71</v>
      </c>
      <c r="H2" s="58" t="s">
        <v>72</v>
      </c>
      <c r="J2" s="59" t="s">
        <v>2</v>
      </c>
      <c r="K2" s="60" t="s">
        <v>45</v>
      </c>
      <c r="L2" s="61" t="s">
        <v>73</v>
      </c>
    </row>
    <row r="3" customFormat="false" ht="15" hidden="false" customHeight="false" outlineLevel="0" collapsed="false">
      <c r="A3" s="63" t="s">
        <v>23</v>
      </c>
      <c r="B3" s="64" t="n">
        <v>12.2328767123288</v>
      </c>
      <c r="C3" s="64" t="n">
        <v>0.322657708100037</v>
      </c>
      <c r="D3" s="64" t="n">
        <v>1</v>
      </c>
      <c r="E3" s="65" t="n">
        <f aca="false">IF(B3*(1-C3-D3) &lt; 0, 0, B3*(1-C3-D3))</f>
        <v>0</v>
      </c>
      <c r="F3" s="66" t="n">
        <f aca="false">(5*365)/2</f>
        <v>912.5</v>
      </c>
      <c r="G3" s="66" t="n">
        <f aca="false">F3</f>
        <v>912.5</v>
      </c>
      <c r="H3" s="66" t="n">
        <f aca="false">G3*B3</f>
        <v>11162.5</v>
      </c>
      <c r="J3" s="67" t="s">
        <v>23</v>
      </c>
      <c r="K3" s="68" t="s">
        <v>74</v>
      </c>
      <c r="L3" s="64" t="n">
        <v>22.4118721461187</v>
      </c>
    </row>
    <row r="4" customFormat="false" ht="15" hidden="false" customHeight="false" outlineLevel="0" collapsed="false">
      <c r="A4" s="69" t="s">
        <v>24</v>
      </c>
      <c r="B4" s="70" t="n">
        <v>8.64200913242009</v>
      </c>
      <c r="C4" s="70" t="n">
        <v>0.26888935855437</v>
      </c>
      <c r="D4" s="70" t="n">
        <v>0.882119835147416</v>
      </c>
      <c r="E4" s="65" t="n">
        <f aca="false">IF(B4*(1-C4-D4) &lt; 0, 0, B4*(1-C4-D4))</f>
        <v>0</v>
      </c>
      <c r="F4" s="66" t="n">
        <f aca="false">(5*365)/2</f>
        <v>912.5</v>
      </c>
      <c r="G4" s="66" t="n">
        <f aca="false">F4</f>
        <v>912.5</v>
      </c>
      <c r="H4" s="66" t="n">
        <f aca="false">G4*B4</f>
        <v>7885.83333333333</v>
      </c>
      <c r="J4" s="71"/>
      <c r="K4" s="72" t="s">
        <v>75</v>
      </c>
      <c r="L4" s="70" t="n">
        <v>12.1068493150685</v>
      </c>
    </row>
    <row r="5" customFormat="false" ht="15" hidden="false" customHeight="false" outlineLevel="0" collapsed="false">
      <c r="A5" s="69" t="s">
        <v>25</v>
      </c>
      <c r="B5" s="70" t="n">
        <v>3.72465753424658</v>
      </c>
      <c r="C5" s="70" t="n">
        <v>0.325487311511585</v>
      </c>
      <c r="D5" s="70" t="n">
        <v>1</v>
      </c>
      <c r="E5" s="65" t="n">
        <f aca="false">IF(B5*(1-C5-D5) &lt; 0, 0, B5*(1-C5-D5))</f>
        <v>0</v>
      </c>
      <c r="F5" s="66" t="n">
        <f aca="false">(5*365)/2</f>
        <v>912.5</v>
      </c>
      <c r="G5" s="66" t="n">
        <f aca="false">F5</f>
        <v>912.5</v>
      </c>
      <c r="H5" s="66" t="n">
        <f aca="false">G5*B5</f>
        <v>3398.75</v>
      </c>
      <c r="J5" s="71"/>
      <c r="K5" s="72" t="s">
        <v>76</v>
      </c>
      <c r="L5" s="70" t="n">
        <v>10.3050228310502</v>
      </c>
    </row>
    <row r="6" customFormat="false" ht="15" hidden="false" customHeight="false" outlineLevel="0" collapsed="false">
      <c r="A6" s="69" t="s">
        <v>26</v>
      </c>
      <c r="B6" s="70" t="n">
        <v>1.01917808219178</v>
      </c>
      <c r="C6" s="70" t="n">
        <v>0.220878136200717</v>
      </c>
      <c r="D6" s="70" t="n">
        <v>0.741487455197133</v>
      </c>
      <c r="E6" s="65" t="n">
        <f aca="false">IF(B6*(1-C6-D6) &lt; 0, 0, B6*(1-C6-D6))</f>
        <v>0.0383561643835617</v>
      </c>
      <c r="F6" s="66" t="n">
        <f aca="false">(5*365)/2</f>
        <v>912.5</v>
      </c>
      <c r="G6" s="66" t="n">
        <f aca="false">F6</f>
        <v>912.5</v>
      </c>
      <c r="H6" s="66" t="n">
        <f aca="false">G6*B6</f>
        <v>929.999999999999</v>
      </c>
      <c r="J6" s="71" t="s">
        <v>24</v>
      </c>
      <c r="K6" s="72" t="s">
        <v>74</v>
      </c>
      <c r="L6" s="70" t="n">
        <v>13.9383561643836</v>
      </c>
    </row>
    <row r="7" customFormat="false" ht="15.75" hidden="false" customHeight="false" outlineLevel="0" collapsed="false">
      <c r="A7" s="73"/>
      <c r="B7" s="73"/>
      <c r="C7" s="73"/>
      <c r="D7" s="73"/>
      <c r="E7" s="74"/>
      <c r="F7" s="75"/>
      <c r="G7" s="75"/>
      <c r="J7" s="71"/>
      <c r="K7" s="72" t="s">
        <v>75</v>
      </c>
      <c r="L7" s="70" t="n">
        <v>9.3986301369863</v>
      </c>
    </row>
    <row r="8" customFormat="false" ht="15.75" hidden="false" customHeight="false" outlineLevel="0" collapsed="false">
      <c r="A8" s="57" t="s">
        <v>77</v>
      </c>
      <c r="B8" s="57"/>
      <c r="C8" s="57"/>
      <c r="D8" s="57"/>
      <c r="E8" s="57"/>
      <c r="F8" s="57"/>
      <c r="J8" s="71"/>
      <c r="K8" s="72" t="s">
        <v>76</v>
      </c>
      <c r="L8" s="70" t="n">
        <v>4.53972602739726</v>
      </c>
    </row>
    <row r="9" customFormat="false" ht="15.75" hidden="false" customHeight="false" outlineLevel="0" collapsed="false">
      <c r="A9" s="59" t="s">
        <v>2</v>
      </c>
      <c r="B9" s="60" t="s">
        <v>3</v>
      </c>
      <c r="C9" s="60" t="s">
        <v>78</v>
      </c>
      <c r="D9" s="60" t="s">
        <v>67</v>
      </c>
      <c r="E9" s="76" t="s">
        <v>68</v>
      </c>
      <c r="F9" s="58" t="s">
        <v>79</v>
      </c>
      <c r="J9" s="71" t="s">
        <v>25</v>
      </c>
      <c r="K9" s="72" t="s">
        <v>74</v>
      </c>
      <c r="L9" s="70" t="n">
        <v>4.32420091324201</v>
      </c>
    </row>
    <row r="10" customFormat="false" ht="15" hidden="false" customHeight="false" outlineLevel="0" collapsed="false">
      <c r="A10" s="63" t="s">
        <v>23</v>
      </c>
      <c r="B10" s="77" t="s">
        <v>18</v>
      </c>
      <c r="C10" s="64" t="n">
        <v>0.052054794520548</v>
      </c>
      <c r="D10" s="64" t="n">
        <v>0.0526315789473684</v>
      </c>
      <c r="E10" s="64" t="n">
        <v>0.12280701754386</v>
      </c>
      <c r="F10" s="78" t="n">
        <f aca="false">C10*(1-D10-E10)</f>
        <v>0.0429223744292238</v>
      </c>
      <c r="J10" s="71"/>
      <c r="K10" s="72" t="s">
        <v>75</v>
      </c>
      <c r="L10" s="70" t="n">
        <v>2.98767123287671</v>
      </c>
    </row>
    <row r="11" customFormat="false" ht="15" hidden="false" customHeight="false" outlineLevel="0" collapsed="false">
      <c r="A11" s="79"/>
      <c r="B11" s="80" t="s">
        <v>20</v>
      </c>
      <c r="C11" s="70" t="n">
        <v>37.6803652968037</v>
      </c>
      <c r="D11" s="64" t="n">
        <v>0.0664444983034416</v>
      </c>
      <c r="E11" s="64" t="n">
        <v>0.11062772661173</v>
      </c>
      <c r="F11" s="78" t="n">
        <f aca="false">C11*(1-D11-E11)</f>
        <v>31.0082191780822</v>
      </c>
      <c r="J11" s="71"/>
      <c r="K11" s="72" t="s">
        <v>76</v>
      </c>
      <c r="L11" s="70" t="n">
        <v>1.3365296803653</v>
      </c>
    </row>
    <row r="12" customFormat="false" ht="15" hidden="false" customHeight="false" outlineLevel="0" collapsed="false">
      <c r="A12" s="69" t="s">
        <v>24</v>
      </c>
      <c r="B12" s="80" t="s">
        <v>18</v>
      </c>
      <c r="C12" s="70" t="n">
        <v>0.0292237442922374</v>
      </c>
      <c r="D12" s="64" t="n">
        <v>0.03125</v>
      </c>
      <c r="E12" s="64" t="n">
        <v>0.046875</v>
      </c>
      <c r="F12" s="78" t="n">
        <f aca="false">C12*(1-D12-E12)</f>
        <v>0.0269406392694064</v>
      </c>
      <c r="J12" s="71" t="s">
        <v>26</v>
      </c>
      <c r="K12" s="72" t="s">
        <v>74</v>
      </c>
      <c r="L12" s="70" t="n">
        <v>1.09041095890411</v>
      </c>
    </row>
    <row r="13" customFormat="false" ht="15" hidden="false" customHeight="false" outlineLevel="0" collapsed="false">
      <c r="A13" s="79"/>
      <c r="B13" s="80" t="s">
        <v>20</v>
      </c>
      <c r="C13" s="70" t="n">
        <v>24.6662100456621</v>
      </c>
      <c r="D13" s="64" t="n">
        <v>0.0494825894592643</v>
      </c>
      <c r="E13" s="64" t="n">
        <v>0.0947814657805587</v>
      </c>
      <c r="F13" s="78" t="n">
        <f aca="false">C13*(1-D13-E13)</f>
        <v>21.1077625570776</v>
      </c>
      <c r="J13" s="71"/>
      <c r="K13" s="72" t="s">
        <v>75</v>
      </c>
      <c r="L13" s="70" t="n">
        <v>0.871689497716895</v>
      </c>
    </row>
    <row r="14" customFormat="false" ht="15" hidden="false" customHeight="false" outlineLevel="0" collapsed="false">
      <c r="A14" s="69" t="s">
        <v>25</v>
      </c>
      <c r="B14" s="80" t="s">
        <v>18</v>
      </c>
      <c r="C14" s="70" t="n">
        <v>0.0164383561643836</v>
      </c>
      <c r="D14" s="64" t="n">
        <v>0</v>
      </c>
      <c r="E14" s="64" t="n">
        <v>0</v>
      </c>
      <c r="F14" s="78" t="n">
        <f aca="false">C14*(1-D14-E14)</f>
        <v>0.0164383561643836</v>
      </c>
      <c r="J14" s="71"/>
      <c r="K14" s="72" t="s">
        <v>76</v>
      </c>
      <c r="L14" s="70" t="n">
        <v>0.218721461187215</v>
      </c>
    </row>
    <row r="15" customFormat="false" ht="15" hidden="false" customHeight="false" outlineLevel="0" collapsed="false">
      <c r="A15" s="79"/>
      <c r="B15" s="80" t="s">
        <v>20</v>
      </c>
      <c r="C15" s="70" t="n">
        <v>11.5013698630137</v>
      </c>
      <c r="D15" s="64" t="n">
        <v>0.0674527552802922</v>
      </c>
      <c r="E15" s="64" t="n">
        <v>0.10814673654121</v>
      </c>
      <c r="F15" s="78" t="n">
        <f aca="false">C15*(1-D15-E15)</f>
        <v>9.48173515981735</v>
      </c>
    </row>
    <row r="16" customFormat="false" ht="15" hidden="false" customHeight="false" outlineLevel="0" collapsed="false">
      <c r="A16" s="69" t="s">
        <v>26</v>
      </c>
      <c r="B16" s="80" t="s">
        <v>18</v>
      </c>
      <c r="C16" s="70" t="n">
        <v>0.0045662100456621</v>
      </c>
      <c r="D16" s="64" t="n">
        <v>0</v>
      </c>
      <c r="E16" s="64" t="n">
        <v>0.3</v>
      </c>
      <c r="F16" s="78" t="n">
        <f aca="false">C16*(1-D16-E16)</f>
        <v>0.00319634703196347</v>
      </c>
    </row>
    <row r="17" customFormat="false" ht="15" hidden="false" customHeight="false" outlineLevel="0" collapsed="false">
      <c r="A17" s="79"/>
      <c r="B17" s="80" t="s">
        <v>20</v>
      </c>
      <c r="C17" s="70" t="n">
        <v>2.87990867579909</v>
      </c>
      <c r="D17" s="64" t="n">
        <v>0.0366259711431743</v>
      </c>
      <c r="E17" s="64" t="n">
        <v>0.0732519422863485</v>
      </c>
      <c r="F17" s="78" t="n">
        <f aca="false">C17*(1-D17-E17)</f>
        <v>2.56347031963471</v>
      </c>
    </row>
    <row r="18" customFormat="false" ht="15.75" hidden="false" customHeight="false" outlineLevel="0" collapsed="false">
      <c r="A18" s="73"/>
      <c r="B18" s="73"/>
      <c r="C18" s="73"/>
      <c r="D18" s="73"/>
      <c r="F18" s="74"/>
    </row>
    <row r="19" customFormat="false" ht="15.75" hidden="false" customHeight="false" outlineLevel="0" collapsed="false">
      <c r="A19" s="81" t="s">
        <v>80</v>
      </c>
      <c r="B19" s="81"/>
      <c r="C19" s="81"/>
      <c r="D19" s="81"/>
      <c r="E19" s="81"/>
      <c r="F19" s="81"/>
      <c r="G19" s="81"/>
      <c r="H19" s="81"/>
      <c r="I19" s="81"/>
    </row>
    <row r="20" customFormat="false" ht="15.75" hidden="false" customHeight="false" outlineLevel="0" collapsed="false">
      <c r="A20" s="59" t="s">
        <v>2</v>
      </c>
      <c r="B20" s="60" t="s">
        <v>3</v>
      </c>
      <c r="C20" s="82" t="s">
        <v>70</v>
      </c>
      <c r="D20" s="58" t="s">
        <v>81</v>
      </c>
      <c r="E20" s="58"/>
      <c r="F20" s="58" t="s">
        <v>82</v>
      </c>
      <c r="G20" s="58" t="s">
        <v>71</v>
      </c>
      <c r="H20" s="58" t="s">
        <v>83</v>
      </c>
      <c r="I20" s="58" t="s">
        <v>72</v>
      </c>
    </row>
    <row r="21" customFormat="false" ht="15.75" hidden="false" customHeight="false" outlineLevel="0" collapsed="false">
      <c r="A21" s="83"/>
      <c r="B21" s="84"/>
      <c r="C21" s="85" t="s">
        <v>84</v>
      </c>
      <c r="D21" s="86" t="s">
        <v>85</v>
      </c>
      <c r="E21" s="87" t="s">
        <v>86</v>
      </c>
      <c r="F21" s="88"/>
      <c r="G21" s="88"/>
      <c r="H21" s="88"/>
      <c r="I21" s="89"/>
    </row>
    <row r="22" customFormat="false" ht="15" hidden="false" customHeight="false" outlineLevel="0" collapsed="false">
      <c r="A22" s="63" t="s">
        <v>23</v>
      </c>
      <c r="B22" s="77" t="s">
        <v>18</v>
      </c>
      <c r="C22" s="50" t="n">
        <f aca="false">IF(B22="Critical",MAX(1/L3,1/(F10+F11)),MAX(1/L2,1/(F9+F10)))</f>
        <v>0.0446192086712033</v>
      </c>
      <c r="D22" s="50" t="n">
        <f aca="false">F10*C22</f>
        <v>0.00191516238132106</v>
      </c>
      <c r="E22" s="50" t="n">
        <f aca="false">IF(B22="Critical", SUM(D22:D23), E21)</f>
        <v>1.38547736441058</v>
      </c>
      <c r="F22" s="50" t="n">
        <f aca="false">IF(B22="Critical",(E22*C22)/(1-D22),IF(B22="Normal",(E22*C22)/((1-D21)*(1-E22))))</f>
        <v>0.0619375240479133</v>
      </c>
      <c r="G22" s="50" t="n">
        <f aca="false">F22+C22</f>
        <v>0.106556732719117</v>
      </c>
      <c r="H22" s="50" t="n">
        <f aca="false">F22*$F10</f>
        <v>0.00265850559840359</v>
      </c>
      <c r="I22" s="50" t="n">
        <f aca="false">G22*$F10</f>
        <v>0.00457366797972465</v>
      </c>
    </row>
    <row r="23" customFormat="false" ht="15" hidden="false" customHeight="false" outlineLevel="0" collapsed="false">
      <c r="A23" s="79"/>
      <c r="B23" s="80" t="s">
        <v>20</v>
      </c>
      <c r="C23" s="50" t="n">
        <f aca="false">IF(B23="Critical",MAX(1/L4,1/(F11+F12)),MAX(1/L3,1/(F10+F11)))</f>
        <v>0.0446192086712033</v>
      </c>
      <c r="D23" s="90" t="n">
        <f aca="false">F11*C23</f>
        <v>1.38356220202926</v>
      </c>
      <c r="E23" s="50" t="n">
        <f aca="false">IF(B23="Critical", SUM(D23:D24), E22)</f>
        <v>1.38547736441058</v>
      </c>
      <c r="F23" s="90" t="n">
        <f aca="false">IF(B23="Critical",(E23*C23)/(1-D23),IF(B23="Normal",(E23*C23)/((1-D22)*(1-E23))))</f>
        <v>-0.160677460640574</v>
      </c>
      <c r="G23" s="90" t="n">
        <f aca="false">F23+C23</f>
        <v>-0.11605825196937</v>
      </c>
      <c r="H23" s="90" t="n">
        <f aca="false">F23*$F11</f>
        <v>-4.98232191652059</v>
      </c>
      <c r="I23" s="90" t="n">
        <f aca="false">G23*$F11</f>
        <v>-3.59875971449133</v>
      </c>
    </row>
    <row r="24" customFormat="false" ht="15" hidden="false" customHeight="false" outlineLevel="0" collapsed="false">
      <c r="A24" s="69" t="s">
        <v>24</v>
      </c>
      <c r="B24" s="80" t="s">
        <v>18</v>
      </c>
      <c r="C24" s="50" t="n">
        <f aca="false">IF(B24="Critical",MAX(1/L6,1/(F12+F13)),MAX(1/L5,1/(F11+F12)))</f>
        <v>0.0717444717444715</v>
      </c>
      <c r="D24" s="90" t="n">
        <f aca="false">F12*C24</f>
        <v>0.00193284193284192</v>
      </c>
      <c r="E24" s="50" t="n">
        <f aca="false">IF(B24="Critical", SUM(D24:D25), E23)</f>
        <v>1.51629811629811</v>
      </c>
      <c r="F24" s="90" t="n">
        <f aca="false">IF(B24="Critical",(E24*C24)/(1-D24),IF(B24="Normal",(E24*C24)/((1-D23)*(1-E24))))</f>
        <v>0.108996680715974</v>
      </c>
      <c r="G24" s="90" t="n">
        <f aca="false">F24+C24</f>
        <v>0.180741152460445</v>
      </c>
      <c r="H24" s="90" t="n">
        <f aca="false">F24*$F12</f>
        <v>0.00293644025673171</v>
      </c>
      <c r="I24" s="90" t="n">
        <f aca="false">G24*$F12</f>
        <v>0.00486928218957363</v>
      </c>
    </row>
    <row r="25" customFormat="false" ht="15" hidden="false" customHeight="false" outlineLevel="0" collapsed="false">
      <c r="A25" s="79"/>
      <c r="B25" s="80" t="s">
        <v>20</v>
      </c>
      <c r="C25" s="50" t="n">
        <f aca="false">IF(B25="Critical",MAX(1/L7,1/(F13+F14)),MAX(1/L6,1/(F12+F13)))</f>
        <v>0.0717444717444715</v>
      </c>
      <c r="D25" s="90" t="n">
        <f aca="false">F13*C25</f>
        <v>1.51436527436527</v>
      </c>
      <c r="E25" s="50" t="n">
        <f aca="false">IF(B25="Critical", SUM(D25:D26), E24)</f>
        <v>1.51629811629811</v>
      </c>
      <c r="F25" s="90" t="n">
        <f aca="false">IF(B25="Critical",(E25*C25)/(1-D25),IF(B25="Normal",(E25*C25)/((1-D24)*(1-E25))))</f>
        <v>-0.211111908556797</v>
      </c>
      <c r="G25" s="90" t="n">
        <f aca="false">F25+C25</f>
        <v>-0.139367436812326</v>
      </c>
      <c r="H25" s="90" t="n">
        <f aca="false">F25*$F13</f>
        <v>-4.45610003878836</v>
      </c>
      <c r="I25" s="90" t="n">
        <f aca="false">G25*$F13</f>
        <v>-2.94173476442309</v>
      </c>
    </row>
    <row r="26" customFormat="false" ht="15" hidden="false" customHeight="false" outlineLevel="0" collapsed="false">
      <c r="A26" s="69" t="s">
        <v>25</v>
      </c>
      <c r="B26" s="80" t="s">
        <v>18</v>
      </c>
      <c r="C26" s="50" t="n">
        <f aca="false">IF(B26="Critical",MAX(1/L9,1/(F14+F15)),MAX(1/L8,1/(F13+F14)))</f>
        <v>0.231256599788807</v>
      </c>
      <c r="D26" s="90" t="n">
        <f aca="false">F14*C26</f>
        <v>0.00380147835269272</v>
      </c>
      <c r="E26" s="50" t="n">
        <f aca="false">IF(B26="Critical", SUM(D26:D27), E25)</f>
        <v>2.19651531151003</v>
      </c>
      <c r="F26" s="90" t="n">
        <f aca="false">IF(B26="Critical",(E26*C26)/(1-D26),IF(B26="Normal",(E26*C26)/((1-D25)*(1-E26))))</f>
        <v>0.509897024825839</v>
      </c>
      <c r="G26" s="90" t="n">
        <f aca="false">F26+C26</f>
        <v>0.741153624614646</v>
      </c>
      <c r="H26" s="90" t="n">
        <f aca="false">F26*$F14</f>
        <v>0.00838186890124669</v>
      </c>
      <c r="I26" s="90" t="n">
        <f aca="false">G26*$F14</f>
        <v>0.0121833472539394</v>
      </c>
    </row>
    <row r="27" customFormat="false" ht="15" hidden="false" customHeight="false" outlineLevel="0" collapsed="false">
      <c r="A27" s="79"/>
      <c r="B27" s="80" t="s">
        <v>20</v>
      </c>
      <c r="C27" s="50" t="n">
        <f aca="false">IF(B27="Critical",MAX(1/L10,1/(F15+F16)),MAX(1/L9,1/(F14+F15)))</f>
        <v>0.231256599788807</v>
      </c>
      <c r="D27" s="90" t="n">
        <f aca="false">F15*C27</f>
        <v>2.19271383315734</v>
      </c>
      <c r="E27" s="50" t="n">
        <f aca="false">IF(B27="Critical", SUM(D27:D28), E26)</f>
        <v>2.19651531151003</v>
      </c>
      <c r="F27" s="90" t="n">
        <f aca="false">IF(B27="Critical",(E27*C27)/(1-D27),IF(B27="Normal",(E27*C27)/((1-D26)*(1-E27))))</f>
        <v>-0.426151692269058</v>
      </c>
      <c r="G27" s="90" t="n">
        <f aca="false">F27+C27</f>
        <v>-0.194895092480252</v>
      </c>
      <c r="H27" s="90" t="n">
        <f aca="false">F27*$F15</f>
        <v>-4.04065748400319</v>
      </c>
      <c r="I27" s="90" t="n">
        <f aca="false">G27*$F15</f>
        <v>-1.84794365084586</v>
      </c>
    </row>
    <row r="28" customFormat="false" ht="15" hidden="false" customHeight="false" outlineLevel="0" collapsed="false">
      <c r="A28" s="69" t="s">
        <v>26</v>
      </c>
      <c r="B28" s="80" t="s">
        <v>18</v>
      </c>
      <c r="C28" s="50" t="n">
        <f aca="false">IF(B28="Critical",MAX(1/L12,1/(F16+F17)),MAX(1/L11,1/(F15+F16)))</f>
        <v>0.917085427135678</v>
      </c>
      <c r="D28" s="90" t="n">
        <f aca="false">F16*C28</f>
        <v>0.00293132328308208</v>
      </c>
      <c r="E28" s="50" t="n">
        <f aca="false">IF(B28="Critical", SUM(D28:D29), E27)</f>
        <v>2.35385259631491</v>
      </c>
      <c r="F28" s="90" t="n">
        <f aca="false">IF(B28="Critical",(E28*C28)/(1-D28),IF(B28="Normal",(E28*C28)/((1-D27)*(1-E28))))</f>
        <v>2.1650303174841</v>
      </c>
      <c r="G28" s="90" t="n">
        <f aca="false">F28+C28</f>
        <v>3.08211574461978</v>
      </c>
      <c r="H28" s="90" t="n">
        <f aca="false">F28*$F16</f>
        <v>0.00692018822940124</v>
      </c>
      <c r="I28" s="90" t="n">
        <f aca="false">G28*$F16</f>
        <v>0.00985151151248332</v>
      </c>
    </row>
    <row r="29" customFormat="false" ht="15" hidden="false" customHeight="false" outlineLevel="0" collapsed="false">
      <c r="A29" s="79"/>
      <c r="B29" s="80" t="s">
        <v>20</v>
      </c>
      <c r="C29" s="50" t="n">
        <f aca="false">IF(B29="Critical",MAX(1/L13,1/(F17+F18)),MAX(1/L12,1/(F16+F17)))</f>
        <v>0.917085427135678</v>
      </c>
      <c r="D29" s="90" t="n">
        <f aca="false">F17*C29</f>
        <v>2.35092127303183</v>
      </c>
      <c r="E29" s="50" t="n">
        <f aca="false">IF(B29="Critical", SUM(H29:H30), E28)</f>
        <v>2.35385259631491</v>
      </c>
      <c r="F29" s="90" t="n">
        <f aca="false">IF(B29="Critical",(E29*C29)/(1-D29),IF(B29="Normal",(E29*C29)/((1-D28)*(1-E29))))</f>
        <v>-1.59916251102754</v>
      </c>
      <c r="G29" s="90" t="n">
        <f aca="false">F29+C29</f>
        <v>-0.682077083891861</v>
      </c>
      <c r="H29" s="90" t="n">
        <f aca="false">F29*$F17</f>
        <v>-4.0994056332916</v>
      </c>
      <c r="I29" s="90" t="n">
        <f aca="false">G29*$F17</f>
        <v>-1.74848436025978</v>
      </c>
    </row>
    <row r="30" customFormat="false" ht="15.75" hidden="false" customHeight="false" outlineLevel="0" collapsed="false">
      <c r="E30" s="73"/>
      <c r="F30" s="73"/>
      <c r="G30" s="73"/>
      <c r="H30" s="73"/>
      <c r="I30" s="73"/>
      <c r="J30" s="73"/>
      <c r="K30" s="73"/>
      <c r="L30" s="73"/>
      <c r="M30" s="73"/>
    </row>
    <row r="31" customFormat="false" ht="15.75" hidden="false" customHeight="false" outlineLevel="0" collapsed="false">
      <c r="A31" s="81" t="s">
        <v>87</v>
      </c>
      <c r="B31" s="81"/>
      <c r="C31" s="81"/>
      <c r="D31" s="81"/>
      <c r="E31" s="81"/>
      <c r="F31" s="81"/>
      <c r="G31" s="81"/>
      <c r="H31" s="81"/>
      <c r="I31" s="81"/>
      <c r="J31" s="81"/>
    </row>
    <row r="32" customFormat="false" ht="15.75" hidden="false" customHeight="false" outlineLevel="0" collapsed="false">
      <c r="A32" s="59" t="s">
        <v>2</v>
      </c>
      <c r="B32" s="60" t="s">
        <v>3</v>
      </c>
      <c r="C32" s="62" t="s">
        <v>88</v>
      </c>
      <c r="D32" s="91" t="s">
        <v>89</v>
      </c>
      <c r="E32" s="58" t="s">
        <v>90</v>
      </c>
      <c r="F32" s="82" t="s">
        <v>70</v>
      </c>
      <c r="G32" s="58" t="s">
        <v>91</v>
      </c>
      <c r="H32" s="58" t="s">
        <v>92</v>
      </c>
      <c r="I32" s="58" t="s">
        <v>82</v>
      </c>
      <c r="J32" s="58" t="s">
        <v>71</v>
      </c>
    </row>
    <row r="33" customFormat="false" ht="15" hidden="false" customHeight="false" outlineLevel="0" collapsed="false">
      <c r="A33" s="63" t="s">
        <v>23</v>
      </c>
      <c r="B33" s="77" t="s">
        <v>18</v>
      </c>
      <c r="C33" s="92" t="n">
        <f aca="false">F10</f>
        <v>0.0429223744292238</v>
      </c>
      <c r="D33" s="44" t="n">
        <f aca="false">IF(B33="Critical",IF((1/F33)&gt;C33,C33,(1/F33)),((1/F33))-C32)</f>
        <v>0.0429223744292238</v>
      </c>
      <c r="E33" s="50" t="n">
        <f aca="false">C33-D33</f>
        <v>0</v>
      </c>
      <c r="F33" s="50" t="n">
        <f aca="false">C22</f>
        <v>0.0446192086712033</v>
      </c>
      <c r="G33" s="50" t="n">
        <f aca="false">F33*D33</f>
        <v>0.00191516238132106</v>
      </c>
      <c r="H33" s="50" t="n">
        <f aca="false">IF(B33="Critical", SUM(G33:G34),#REF!)</f>
        <v>1</v>
      </c>
      <c r="I33" s="50" t="n">
        <f aca="false">IF(B33="Critical",(H33*F33)/(1-G33),IF(H33=1,"inf",(H33*F33)/((1-G32)*(1-H33))))</f>
        <v>0.0447048256715931</v>
      </c>
      <c r="J33" s="50" t="n">
        <f aca="false">F33+I33</f>
        <v>0.0893240343427964</v>
      </c>
    </row>
    <row r="34" customFormat="false" ht="15" hidden="false" customHeight="false" outlineLevel="0" collapsed="false">
      <c r="A34" s="79"/>
      <c r="B34" s="80" t="s">
        <v>20</v>
      </c>
      <c r="C34" s="92" t="n">
        <f aca="false">F11</f>
        <v>31.0082191780822</v>
      </c>
      <c r="D34" s="44" t="n">
        <f aca="false">IF(B34="Critical",IF((1/F34)&gt;C34,C34,(1/F34)),((1/F34))-C33)</f>
        <v>22.3689497716895</v>
      </c>
      <c r="E34" s="50" t="n">
        <f aca="false">C34-D34</f>
        <v>8.63926940639276</v>
      </c>
      <c r="F34" s="50" t="n">
        <f aca="false">C23</f>
        <v>0.0446192086712033</v>
      </c>
      <c r="G34" s="50" t="n">
        <f aca="false">F34*D34</f>
        <v>0.998084837618679</v>
      </c>
      <c r="H34" s="50" t="n">
        <f aca="false">IF(B34="Critical", SUM(G34:G35),H33)</f>
        <v>1</v>
      </c>
      <c r="I34" s="50" t="str">
        <f aca="false">IF(B34="Critical",(H34*F34)/(1-G34),IF(H34=1,"inf",(H34*F34)/((1-G33)*(1-H34))))</f>
        <v>inf</v>
      </c>
      <c r="J34" s="50" t="e">
        <f aca="false">F34+I34</f>
        <v>#VALUE!</v>
      </c>
    </row>
    <row r="35" customFormat="false" ht="15" hidden="false" customHeight="false" outlineLevel="0" collapsed="false">
      <c r="A35" s="69" t="s">
        <v>24</v>
      </c>
      <c r="B35" s="80" t="s">
        <v>18</v>
      </c>
      <c r="C35" s="92" t="n">
        <f aca="false">F12</f>
        <v>0.0269406392694064</v>
      </c>
      <c r="D35" s="44" t="n">
        <f aca="false">IF(B35="Critical",IF((1/F35)&gt;C35,C35,(1/F35)),((1/F35))-C34)</f>
        <v>0.0269406392694064</v>
      </c>
      <c r="E35" s="50" t="n">
        <f aca="false">C35-D35</f>
        <v>0</v>
      </c>
      <c r="F35" s="50" t="n">
        <f aca="false">C24</f>
        <v>0.0717444717444715</v>
      </c>
      <c r="G35" s="50" t="n">
        <f aca="false">F35*D35</f>
        <v>0.00193284193284192</v>
      </c>
      <c r="H35" s="50" t="n">
        <f aca="false">IF(B35="Critical", SUM(G35:G36),H34)</f>
        <v>1</v>
      </c>
      <c r="I35" s="50" t="n">
        <f aca="false">IF(B35="Critical",(H35*F35)/(1-G35),IF(H35=1,"inf",(H35*F35)/((1-G34)*(1-H35))))</f>
        <v>0.0718834110155581</v>
      </c>
      <c r="J35" s="50" t="n">
        <f aca="false">F35+I35</f>
        <v>0.14362788276003</v>
      </c>
    </row>
    <row r="36" customFormat="false" ht="15" hidden="false" customHeight="false" outlineLevel="0" collapsed="false">
      <c r="A36" s="79"/>
      <c r="B36" s="80" t="s">
        <v>20</v>
      </c>
      <c r="C36" s="92" t="n">
        <f aca="false">F13</f>
        <v>21.1077625570776</v>
      </c>
      <c r="D36" s="44" t="n">
        <f aca="false">IF(B36="Critical",IF((1/F36)&gt;C36,C36,(1/F36)),((1/F36))-C35)</f>
        <v>13.9114155251142</v>
      </c>
      <c r="E36" s="50" t="n">
        <f aca="false">C36-D36</f>
        <v>7.19634703196343</v>
      </c>
      <c r="F36" s="50" t="n">
        <f aca="false">C25</f>
        <v>0.0717444717444715</v>
      </c>
      <c r="G36" s="50" t="n">
        <f aca="false">F36*D36</f>
        <v>0.998067158067158</v>
      </c>
      <c r="H36" s="50" t="n">
        <f aca="false">IF(B36="Critical", SUM(G36:G37),H35)</f>
        <v>1</v>
      </c>
      <c r="I36" s="50" t="str">
        <f aca="false">IF(B36="Critical",(H36*F36)/(1-G36),IF(H36=1,"inf",(H36*F36)/((1-G35)*(1-H36))))</f>
        <v>inf</v>
      </c>
      <c r="J36" s="50" t="e">
        <f aca="false">F36+I36</f>
        <v>#VALUE!</v>
      </c>
    </row>
    <row r="37" customFormat="false" ht="15" hidden="false" customHeight="false" outlineLevel="0" collapsed="false">
      <c r="A37" s="69" t="s">
        <v>25</v>
      </c>
      <c r="B37" s="80" t="s">
        <v>18</v>
      </c>
      <c r="C37" s="92" t="n">
        <f aca="false">F14</f>
        <v>0.0164383561643836</v>
      </c>
      <c r="D37" s="44" t="n">
        <f aca="false">IF(B37="Critical",IF((1/F37)&gt;C37,C37,(1/F37)),((1/F37))-C36)</f>
        <v>0.0164383561643836</v>
      </c>
      <c r="E37" s="50" t="n">
        <f aca="false">C37-D37</f>
        <v>0</v>
      </c>
      <c r="F37" s="50" t="n">
        <f aca="false">C26</f>
        <v>0.231256599788807</v>
      </c>
      <c r="G37" s="50" t="n">
        <f aca="false">F37*D37</f>
        <v>0.00380147835269272</v>
      </c>
      <c r="H37" s="50" t="n">
        <f aca="false">IF(B37="Critical", SUM(G37:G38),H36)</f>
        <v>1</v>
      </c>
      <c r="I37" s="50" t="n">
        <f aca="false">IF(B37="Critical",(H37*F37)/(1-G37),IF(H37=1,"inf",(H37*F37)/((1-G36)*(1-H37))))</f>
        <v>0.232139071443714</v>
      </c>
      <c r="J37" s="50" t="n">
        <f aca="false">F37+I37</f>
        <v>0.463395671232521</v>
      </c>
    </row>
    <row r="38" customFormat="false" ht="15" hidden="false" customHeight="false" outlineLevel="0" collapsed="false">
      <c r="A38" s="79"/>
      <c r="B38" s="80" t="s">
        <v>20</v>
      </c>
      <c r="C38" s="92" t="n">
        <f aca="false">F15</f>
        <v>9.48173515981735</v>
      </c>
      <c r="D38" s="44" t="n">
        <f aca="false">IF(B38="Critical",IF((1/F38)&gt;C38,C38,(1/F38)),((1/F38))-C37)</f>
        <v>4.30776255707763</v>
      </c>
      <c r="E38" s="50" t="n">
        <f aca="false">C38-D38</f>
        <v>5.17397260273973</v>
      </c>
      <c r="F38" s="50" t="n">
        <f aca="false">C27</f>
        <v>0.231256599788807</v>
      </c>
      <c r="G38" s="50" t="n">
        <f aca="false">F38*D38</f>
        <v>0.996198521647307</v>
      </c>
      <c r="H38" s="50" t="n">
        <f aca="false">IF(B38="Critical", SUM(G38:G39),H37)</f>
        <v>1</v>
      </c>
      <c r="I38" s="50" t="str">
        <f aca="false">IF(B38="Critical",(H38*F38)/(1-G38),IF(H38=1,"inf",(H38*F38)/((1-G37)*(1-H38))))</f>
        <v>inf</v>
      </c>
      <c r="J38" s="50" t="e">
        <f aca="false">F38+I38</f>
        <v>#VALUE!</v>
      </c>
    </row>
    <row r="39" customFormat="false" ht="15" hidden="false" customHeight="false" outlineLevel="0" collapsed="false">
      <c r="A39" s="69" t="s">
        <v>26</v>
      </c>
      <c r="B39" s="80" t="s">
        <v>18</v>
      </c>
      <c r="C39" s="92" t="n">
        <f aca="false">F16</f>
        <v>0.00319634703196347</v>
      </c>
      <c r="D39" s="44" t="n">
        <f aca="false">IF(B39="Critical",IF((1/F39)&gt;C39,C39,(1/F39)),((1/F39))-C38)</f>
        <v>0.00319634703196347</v>
      </c>
      <c r="E39" s="50" t="n">
        <f aca="false">C39-D39</f>
        <v>0</v>
      </c>
      <c r="F39" s="50" t="n">
        <f aca="false">C28</f>
        <v>0.917085427135678</v>
      </c>
      <c r="G39" s="50" t="n">
        <f aca="false">F39*D39</f>
        <v>0.00293132328308208</v>
      </c>
      <c r="H39" s="50" t="n">
        <f aca="false">IF(B39="Critical", SUM(G39:G40),H38)</f>
        <v>1</v>
      </c>
      <c r="I39" s="50" t="n">
        <f aca="false">IF(B39="Critical",(H39*F39)/(1-G39),IF(H39=1,"inf",(H39*F39)/((1-G38)*(1-H39))))</f>
        <v>0.919781604367912</v>
      </c>
      <c r="J39" s="50" t="n">
        <f aca="false">F39+I39</f>
        <v>1.83686703150359</v>
      </c>
    </row>
    <row r="40" customFormat="false" ht="15" hidden="false" customHeight="false" outlineLevel="0" collapsed="false">
      <c r="A40" s="79"/>
      <c r="B40" s="80" t="s">
        <v>20</v>
      </c>
      <c r="C40" s="92" t="n">
        <f aca="false">F17</f>
        <v>2.56347031963471</v>
      </c>
      <c r="D40" s="44" t="n">
        <f aca="false">IF(B40="Critical",IF((1/F40)&gt;C40,C40,(1/F40)),((1/F40))-C39)</f>
        <v>1.08721461187215</v>
      </c>
      <c r="E40" s="50" t="n">
        <f aca="false">C40-D40</f>
        <v>1.47625570776256</v>
      </c>
      <c r="F40" s="50" t="n">
        <f aca="false">C29</f>
        <v>0.917085427135678</v>
      </c>
      <c r="G40" s="50" t="n">
        <f aca="false">F40*D40</f>
        <v>0.997068676716918</v>
      </c>
      <c r="H40" s="50" t="n">
        <f aca="false">IF(B40="Critical", SUM(D41:D41),H39)</f>
        <v>1</v>
      </c>
      <c r="I40" s="50" t="str">
        <f aca="false">IF(B40="Critical",(H40*F40)/(1-G40),IF(H40=1,"inf",(H40*F40)/((1-G39)*(1-H40))))</f>
        <v>inf</v>
      </c>
      <c r="J40" s="50" t="e">
        <f aca="false">F40+I40</f>
        <v>#VALUE!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A42" s="81" t="s">
        <v>93</v>
      </c>
      <c r="B42" s="81"/>
      <c r="C42" s="81"/>
      <c r="D42" s="81"/>
      <c r="E42" s="81"/>
      <c r="F42" s="81"/>
      <c r="G42" s="81"/>
      <c r="H42" s="81"/>
    </row>
    <row r="43" customFormat="false" ht="15.75" hidden="false" customHeight="false" outlineLevel="0" collapsed="false">
      <c r="A43" s="59" t="s">
        <v>2</v>
      </c>
      <c r="B43" s="60" t="s">
        <v>3</v>
      </c>
      <c r="C43" s="62" t="s">
        <v>88</v>
      </c>
      <c r="D43" s="82" t="s">
        <v>70</v>
      </c>
      <c r="E43" s="58" t="s">
        <v>94</v>
      </c>
      <c r="F43" s="58" t="s">
        <v>91</v>
      </c>
      <c r="G43" s="58" t="s">
        <v>92</v>
      </c>
      <c r="H43" s="58" t="s">
        <v>82</v>
      </c>
      <c r="I43" s="58" t="s">
        <v>71</v>
      </c>
    </row>
    <row r="44" customFormat="false" ht="15" hidden="false" customHeight="false" outlineLevel="0" collapsed="false">
      <c r="A44" s="63" t="s">
        <v>23</v>
      </c>
      <c r="B44" s="77" t="s">
        <v>18</v>
      </c>
      <c r="C44" s="93" t="n">
        <f aca="false">E33*10*365</f>
        <v>0</v>
      </c>
      <c r="D44" s="50" t="n">
        <f aca="false">IF(E33=0,0,F33)</f>
        <v>0</v>
      </c>
      <c r="E44" s="50" t="n">
        <f aca="false">(C44*D44)</f>
        <v>0</v>
      </c>
      <c r="F44" s="50" t="n">
        <f aca="false">D44</f>
        <v>0</v>
      </c>
      <c r="G44" s="50" t="n">
        <f aca="false">IF(B44="Critical", SUM(F44:F45),#REF!)</f>
        <v>0.0446192086712033</v>
      </c>
      <c r="H44" s="50" t="n">
        <f aca="false">IF(B44="Critical",(G44*D44)/(1-F44),(G44*D44)/((1-F43)*(1-G44)))</f>
        <v>0</v>
      </c>
      <c r="I44" s="50" t="n">
        <f aca="false">D44+H44</f>
        <v>0</v>
      </c>
    </row>
    <row r="45" customFormat="false" ht="15" hidden="false" customHeight="false" outlineLevel="0" collapsed="false">
      <c r="A45" s="79"/>
      <c r="B45" s="80" t="s">
        <v>20</v>
      </c>
      <c r="C45" s="93" t="n">
        <f aca="false">E34*10*365</f>
        <v>31533.3333333336</v>
      </c>
      <c r="D45" s="50" t="n">
        <f aca="false">IF(E34=0,0,F34)</f>
        <v>0.0446192086712033</v>
      </c>
      <c r="E45" s="50" t="n">
        <f aca="false">(C45*D45)/365</f>
        <v>3.85477364410581</v>
      </c>
      <c r="F45" s="50" t="n">
        <f aca="false">D45</f>
        <v>0.0446192086712033</v>
      </c>
      <c r="G45" s="50" t="n">
        <f aca="false">IF(B45="Critical", SUM(F45:F46),G44)</f>
        <v>0.0446192086712033</v>
      </c>
      <c r="H45" s="50" t="n">
        <f aca="false">IF(B45="Critical",(G45*D45)/(1-F45),(G45*D45)/((1-F44)*(1-G45)))</f>
        <v>0.00208385368484892</v>
      </c>
      <c r="I45" s="50" t="n">
        <f aca="false">D45+H45</f>
        <v>0.0467030623560523</v>
      </c>
    </row>
    <row r="46" customFormat="false" ht="15" hidden="false" customHeight="false" outlineLevel="0" collapsed="false">
      <c r="A46" s="69" t="s">
        <v>24</v>
      </c>
      <c r="B46" s="80" t="s">
        <v>18</v>
      </c>
      <c r="C46" s="93" t="n">
        <f aca="false">E35*10*365</f>
        <v>0</v>
      </c>
      <c r="D46" s="50" t="n">
        <f aca="false">IF(E35=0,0,F35)</f>
        <v>0</v>
      </c>
      <c r="E46" s="50" t="n">
        <f aca="false">(C46*D46)/365</f>
        <v>0</v>
      </c>
      <c r="F46" s="50" t="n">
        <f aca="false">D46</f>
        <v>0</v>
      </c>
      <c r="G46" s="50" t="n">
        <f aca="false">IF(B46="Critical", SUM(F46:F47),G45)</f>
        <v>0.0717444717444715</v>
      </c>
      <c r="H46" s="50" t="n">
        <f aca="false">IF(B46="Critical",(G46*D46)/(1-F46),(G46*D46)/((1-F45)*(1-G46)))</f>
        <v>0</v>
      </c>
      <c r="I46" s="50" t="n">
        <f aca="false">D46+H46</f>
        <v>0</v>
      </c>
    </row>
    <row r="47" customFormat="false" ht="15" hidden="false" customHeight="false" outlineLevel="0" collapsed="false">
      <c r="A47" s="79"/>
      <c r="B47" s="80" t="s">
        <v>20</v>
      </c>
      <c r="C47" s="93" t="n">
        <f aca="false">E36*10*365</f>
        <v>26266.6666666665</v>
      </c>
      <c r="D47" s="50" t="n">
        <f aca="false">IF(E36=0,0,F36)</f>
        <v>0.0717444717444715</v>
      </c>
      <c r="E47" s="50" t="n">
        <f aca="false">(C47*D47)/365</f>
        <v>5.16298116298112</v>
      </c>
      <c r="F47" s="50" t="n">
        <f aca="false">D47</f>
        <v>0.0717444717444715</v>
      </c>
      <c r="G47" s="50" t="n">
        <f aca="false">IF(B47="Critical", SUM(F47:F48),G46)</f>
        <v>0.0717444717444715</v>
      </c>
      <c r="H47" s="50" t="n">
        <f aca="false">IF(B47="Critical",(G47*D47)/(1-F47),(G47*D47)/((1-F46)*(1-G47)))</f>
        <v>0.00554509945722224</v>
      </c>
      <c r="I47" s="50" t="n">
        <f aca="false">D47+H47</f>
        <v>0.0772895712016938</v>
      </c>
    </row>
    <row r="48" customFormat="false" ht="15" hidden="false" customHeight="false" outlineLevel="0" collapsed="false">
      <c r="A48" s="69" t="s">
        <v>25</v>
      </c>
      <c r="B48" s="80" t="s">
        <v>18</v>
      </c>
      <c r="C48" s="93" t="n">
        <f aca="false">E37*10*365</f>
        <v>0</v>
      </c>
      <c r="D48" s="50" t="n">
        <f aca="false">IF(E37=0,0,F37)</f>
        <v>0</v>
      </c>
      <c r="E48" s="50" t="n">
        <f aca="false">(C48*D48)/365</f>
        <v>0</v>
      </c>
      <c r="F48" s="50" t="n">
        <f aca="false">D48</f>
        <v>0</v>
      </c>
      <c r="G48" s="50" t="n">
        <f aca="false">IF(B48="Critical", SUM(F48:F49),G47)</f>
        <v>0.231256599788807</v>
      </c>
      <c r="H48" s="50" t="n">
        <f aca="false">IF(B48="Critical",(G48*D48)/(1-F48),(G48*D48)/((1-F47)*(1-G48)))</f>
        <v>0</v>
      </c>
      <c r="I48" s="50" t="n">
        <f aca="false">D48+H48</f>
        <v>0</v>
      </c>
    </row>
    <row r="49" customFormat="false" ht="15" hidden="false" customHeight="false" outlineLevel="0" collapsed="false">
      <c r="A49" s="79"/>
      <c r="B49" s="80" t="s">
        <v>20</v>
      </c>
      <c r="C49" s="93" t="n">
        <f aca="false">E38*10*365</f>
        <v>18885</v>
      </c>
      <c r="D49" s="50" t="n">
        <f aca="false">IF(E38=0,0,F38)</f>
        <v>0.231256599788807</v>
      </c>
      <c r="E49" s="50" t="n">
        <f aca="false">(C49*D49)/365</f>
        <v>11.9651531151003</v>
      </c>
      <c r="F49" s="50" t="n">
        <f aca="false">D49</f>
        <v>0.231256599788807</v>
      </c>
      <c r="G49" s="50" t="n">
        <f aca="false">IF(B49="Critical", SUM(F49:F50),G48)</f>
        <v>0.231256599788807</v>
      </c>
      <c r="H49" s="50" t="n">
        <f aca="false">IF(B49="Critical",(G49*D49)/(1-F49),(G49*D49)/((1-F48)*(1-G49)))</f>
        <v>0.069567576035369</v>
      </c>
      <c r="I49" s="50" t="n">
        <f aca="false">D49+H49</f>
        <v>0.300824175824176</v>
      </c>
    </row>
    <row r="50" customFormat="false" ht="15" hidden="false" customHeight="false" outlineLevel="0" collapsed="false">
      <c r="A50" s="69" t="s">
        <v>26</v>
      </c>
      <c r="B50" s="80" t="s">
        <v>18</v>
      </c>
      <c r="C50" s="93" t="n">
        <f aca="false">E39*10*365</f>
        <v>0</v>
      </c>
      <c r="D50" s="50" t="n">
        <f aca="false">IF(E39=0,0,F39)</f>
        <v>0</v>
      </c>
      <c r="E50" s="50" t="n">
        <f aca="false">(C50*D50)/365</f>
        <v>0</v>
      </c>
      <c r="F50" s="50" t="n">
        <f aca="false">D50</f>
        <v>0</v>
      </c>
      <c r="G50" s="50" t="n">
        <f aca="false">IF(B50="Critical", SUM(F50:F51),G49)</f>
        <v>0.917085427135678</v>
      </c>
      <c r="H50" s="50" t="n">
        <f aca="false">IF(B50="Critical",(G50*D50)/(1-F50),(G50*D50)/((1-F49)*(1-G50)))</f>
        <v>0</v>
      </c>
      <c r="I50" s="50" t="n">
        <f aca="false">D50+H50</f>
        <v>0</v>
      </c>
    </row>
    <row r="51" customFormat="false" ht="15" hidden="false" customHeight="false" outlineLevel="0" collapsed="false">
      <c r="A51" s="79"/>
      <c r="B51" s="80" t="s">
        <v>20</v>
      </c>
      <c r="C51" s="93" t="n">
        <f aca="false">E40*10*365</f>
        <v>5388.33333333334</v>
      </c>
      <c r="D51" s="50" t="n">
        <f aca="false">IF(E40=0,0,F40)</f>
        <v>0.917085427135678</v>
      </c>
      <c r="E51" s="50" t="n">
        <f aca="false">(C51*D51)/365</f>
        <v>13.5385259631491</v>
      </c>
      <c r="F51" s="50" t="n">
        <f aca="false">D51</f>
        <v>0.917085427135678</v>
      </c>
      <c r="G51" s="50" t="n">
        <f aca="false">IF(B51="Critical", SUM(D52:D52),G50)</f>
        <v>0.917085427135678</v>
      </c>
      <c r="H51" s="50" t="n">
        <f aca="false">IF(B51="Critical",(G51*D51)/(1-F51),(G51*D51)/((1-F50)*(1-G51)))</f>
        <v>10.1435206334703</v>
      </c>
      <c r="I51" s="50" t="n">
        <f aca="false">D51+H51</f>
        <v>11.060606060606</v>
      </c>
    </row>
  </sheetData>
  <mergeCells count="6">
    <mergeCell ref="A1:H1"/>
    <mergeCell ref="J1:L1"/>
    <mergeCell ref="A8:F8"/>
    <mergeCell ref="A19:I19"/>
    <mergeCell ref="A31:J31"/>
    <mergeCell ref="A42:H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.31"/>
    <col collapsed="false" customWidth="true" hidden="false" outlineLevel="0" max="3" min="3" style="0" width="14.43"/>
    <col collapsed="false" customWidth="true" hidden="false" outlineLevel="0" max="4" min="4" style="0" width="19.85"/>
    <col collapsed="false" customWidth="true" hidden="false" outlineLevel="0" max="5" min="5" style="0" width="12.86"/>
    <col collapsed="false" customWidth="true" hidden="false" outlineLevel="0" max="6" min="6" style="0" width="14.28"/>
    <col collapsed="false" customWidth="true" hidden="false" outlineLevel="0" max="7" min="7" style="0" width="15.15"/>
    <col collapsed="false" customWidth="true" hidden="false" outlineLevel="0" max="8" min="8" style="0" width="17.59"/>
    <col collapsed="false" customWidth="true" hidden="false" outlineLevel="0" max="9" min="9" style="0" width="18.42"/>
    <col collapsed="false" customWidth="true" hidden="false" outlineLevel="0" max="11" min="10" style="0" width="17.29"/>
    <col collapsed="false" customWidth="true" hidden="false" outlineLevel="0" max="12" min="12" style="0" width="18.29"/>
    <col collapsed="false" customWidth="true" hidden="false" outlineLevel="0" max="13" min="13" style="0" width="18.12"/>
  </cols>
  <sheetData>
    <row r="1" customFormat="false" ht="15" hidden="false" customHeight="false" outlineLevel="0" collapsed="false">
      <c r="A1" s="94" t="s">
        <v>95</v>
      </c>
    </row>
    <row r="2" customFormat="false" ht="15" hidden="false" customHeight="false" outlineLevel="0" collapsed="false">
      <c r="A2" s="95" t="s">
        <v>96</v>
      </c>
      <c r="B2" s="95" t="s">
        <v>97</v>
      </c>
      <c r="C2" s="95" t="s">
        <v>98</v>
      </c>
      <c r="D2" s="95" t="s">
        <v>99</v>
      </c>
      <c r="E2" s="96" t="s">
        <v>100</v>
      </c>
      <c r="F2" s="96" t="s">
        <v>70</v>
      </c>
      <c r="G2" s="96" t="s">
        <v>89</v>
      </c>
      <c r="H2" s="96" t="s">
        <v>90</v>
      </c>
      <c r="I2" s="95" t="s">
        <v>91</v>
      </c>
      <c r="J2" s="96" t="s">
        <v>92</v>
      </c>
      <c r="K2" s="96" t="s">
        <v>101</v>
      </c>
      <c r="L2" s="95" t="s">
        <v>82</v>
      </c>
      <c r="M2" s="95" t="s">
        <v>71</v>
      </c>
      <c r="N2" s="95" t="s">
        <v>83</v>
      </c>
      <c r="O2" s="95" t="s">
        <v>72</v>
      </c>
    </row>
    <row r="3" customFormat="false" ht="15" hidden="false" customHeight="false" outlineLevel="0" collapsed="false">
      <c r="A3" s="77" t="n">
        <v>1</v>
      </c>
      <c r="B3" s="64" t="n">
        <v>0.052054794520548</v>
      </c>
      <c r="C3" s="64" t="n">
        <v>0.175438596491228</v>
      </c>
      <c r="D3" s="97" t="n">
        <f aca="false">B3*(1-C3)</f>
        <v>0.0429223744292238</v>
      </c>
      <c r="E3" s="98" t="n">
        <v>22.4118721461187</v>
      </c>
      <c r="F3" s="99" t="n">
        <f aca="false">1/E3</f>
        <v>0.0446192086712033</v>
      </c>
      <c r="G3" s="99" t="n">
        <f aca="false">D3*F3</f>
        <v>0.00191516238132106</v>
      </c>
      <c r="H3" s="99"/>
      <c r="I3" s="100" t="n">
        <f aca="false">F$3*D3</f>
        <v>0.00191516238132106</v>
      </c>
      <c r="J3" s="99" t="n">
        <f aca="false">SUM(I3:I4)</f>
        <v>1.38547736441058</v>
      </c>
      <c r="K3" s="99" t="n">
        <f aca="false">IF(J3&gt;=1, 0.95,J3)</f>
        <v>0.95</v>
      </c>
      <c r="L3" s="100" t="n">
        <f aca="false">IF(A3=1,(F$3*K$3)/(1-I3),(F$3*K$3)/((1-I2)*(1-K$3)))</f>
        <v>0.0424695843880134</v>
      </c>
      <c r="M3" s="100" t="n">
        <f aca="false">L3+F$3</f>
        <v>0.0870887930592168</v>
      </c>
      <c r="N3" s="100" t="n">
        <f aca="false">L3*D3</f>
        <v>0.00182289540295583</v>
      </c>
      <c r="O3" s="100" t="n">
        <f aca="false">M3*D3</f>
        <v>0.00373805778427689</v>
      </c>
    </row>
    <row r="4" customFormat="false" ht="15" hidden="false" customHeight="false" outlineLevel="0" collapsed="false">
      <c r="A4" s="80" t="n">
        <v>2</v>
      </c>
      <c r="B4" s="70" t="n">
        <v>37.6803652968037</v>
      </c>
      <c r="C4" s="64" t="n">
        <v>0.177072224915172</v>
      </c>
      <c r="D4" s="97" t="n">
        <f aca="false">B4*(1-C4)</f>
        <v>31.0082191780822</v>
      </c>
      <c r="E4" s="98"/>
      <c r="F4" s="99"/>
      <c r="G4" s="99"/>
      <c r="H4" s="99"/>
      <c r="I4" s="100" t="n">
        <f aca="false">F$3*D4</f>
        <v>1.38356220202926</v>
      </c>
      <c r="J4" s="99"/>
      <c r="K4" s="99"/>
      <c r="L4" s="100" t="n">
        <f aca="false">IF(A4=1,(F$3*K$3)/(1-I4),(F$3*K$3)/((1-I3)*(1-K$3)))</f>
        <v>0.849391687760268</v>
      </c>
      <c r="M4" s="100" t="n">
        <f aca="false">L4+F$3</f>
        <v>0.894010896431471</v>
      </c>
      <c r="N4" s="100" t="n">
        <f aca="false">L4*D4</f>
        <v>26.3381236221116</v>
      </c>
      <c r="O4" s="100" t="n">
        <f aca="false">M4*D4</f>
        <v>27.7216858241408</v>
      </c>
    </row>
  </sheetData>
  <mergeCells count="4">
    <mergeCell ref="E3:E4"/>
    <mergeCell ref="F3:F4"/>
    <mergeCell ref="J3:J4"/>
    <mergeCell ref="K3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U11" activeCellId="0" sqref="U11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18.12"/>
    <col collapsed="false" customWidth="true" hidden="false" outlineLevel="0" max="5" min="5" style="0" width="12.71"/>
    <col collapsed="false" customWidth="true" hidden="false" outlineLevel="0" max="6" min="6" style="0" width="15.15"/>
    <col collapsed="false" customWidth="true" hidden="false" outlineLevel="0" max="15" min="15" style="0" width="12.71"/>
    <col collapsed="false" customWidth="true" hidden="false" outlineLevel="0" max="19" min="19" style="0" width="13.86"/>
    <col collapsed="false" customWidth="true" hidden="false" outlineLevel="0" max="20" min="20" style="0" width="11.42"/>
  </cols>
  <sheetData>
    <row r="1" customFormat="false" ht="15" hidden="false" customHeight="false" outlineLevel="0" collapsed="false">
      <c r="A1" s="101" t="s">
        <v>102</v>
      </c>
      <c r="B1" s="101"/>
      <c r="C1" s="101"/>
      <c r="D1" s="101"/>
      <c r="E1" s="101"/>
      <c r="F1" s="29"/>
      <c r="G1" s="101" t="s">
        <v>103</v>
      </c>
      <c r="H1" s="101"/>
      <c r="I1" s="101"/>
      <c r="J1" s="101"/>
      <c r="K1" s="101"/>
      <c r="L1" s="101"/>
      <c r="M1" s="101"/>
    </row>
    <row r="2" customFormat="false" ht="15" hidden="false" customHeight="false" outlineLevel="0" collapsed="false">
      <c r="A2" s="29" t="s">
        <v>104</v>
      </c>
      <c r="B2" s="102" t="s">
        <v>105</v>
      </c>
      <c r="C2" s="102"/>
      <c r="D2" s="29" t="s">
        <v>106</v>
      </c>
      <c r="E2" s="29" t="s">
        <v>107</v>
      </c>
      <c r="F2" s="29"/>
      <c r="G2" s="29" t="s">
        <v>104</v>
      </c>
      <c r="H2" s="102" t="s">
        <v>105</v>
      </c>
      <c r="I2" s="102"/>
      <c r="J2" s="102"/>
      <c r="K2" s="29" t="s">
        <v>96</v>
      </c>
      <c r="L2" s="29" t="s">
        <v>108</v>
      </c>
      <c r="M2" s="29" t="s">
        <v>107</v>
      </c>
    </row>
    <row r="3" customFormat="false" ht="15" hidden="false" customHeight="false" outlineLevel="0" collapsed="false">
      <c r="A3" s="0" t="s">
        <v>23</v>
      </c>
      <c r="B3" s="103" t="s">
        <v>109</v>
      </c>
      <c r="C3" s="103"/>
      <c r="D3" s="0" t="n">
        <f aca="false">Dati_OPTN!C30/(Dati_OPTN!C7+Dati_OPTN!P53)</f>
        <v>0.0802612808769427</v>
      </c>
      <c r="E3" s="0" t="n">
        <f aca="false">D3+0.02</f>
        <v>0.100261280876943</v>
      </c>
      <c r="G3" s="0" t="s">
        <v>23</v>
      </c>
      <c r="H3" s="103" t="s">
        <v>110</v>
      </c>
      <c r="I3" s="103"/>
      <c r="J3" s="103"/>
      <c r="K3" s="0" t="n">
        <f aca="false">Dati_OPTN!P53/(Dati_OPTN!C30+Dati_OPTN!C7)</f>
        <v>0.280298985584624</v>
      </c>
      <c r="L3" s="0" t="n">
        <v>0.25</v>
      </c>
      <c r="M3" s="0" t="n">
        <f aca="false">K3+L3</f>
        <v>0.530298985584624</v>
      </c>
    </row>
    <row r="4" customFormat="false" ht="15" hidden="false" customHeight="false" outlineLevel="0" collapsed="false">
      <c r="A4" s="0" t="s">
        <v>24</v>
      </c>
      <c r="B4" s="103" t="s">
        <v>109</v>
      </c>
      <c r="C4" s="103"/>
      <c r="D4" s="0" t="n">
        <f aca="false">Dati_OPTN!C34/(Dati_OPTN!C11+Dati_OPTN!P57)</f>
        <v>0.0626250735726898</v>
      </c>
      <c r="E4" s="0" t="n">
        <f aca="false">D4+0.02</f>
        <v>0.0826250735726898</v>
      </c>
      <c r="G4" s="0" t="s">
        <v>24</v>
      </c>
      <c r="H4" s="103" t="s">
        <v>110</v>
      </c>
      <c r="I4" s="103"/>
      <c r="J4" s="103"/>
      <c r="K4" s="0" t="n">
        <f aca="false">Dati_OPTN!P57/(Dati_OPTN!C34+Dati_OPTN!C11)</f>
        <v>0.243559718969555</v>
      </c>
      <c r="L4" s="0" t="n">
        <v>0.32</v>
      </c>
      <c r="M4" s="0" t="n">
        <f aca="false">K4+L4</f>
        <v>0.563559718969555</v>
      </c>
    </row>
    <row r="5" customFormat="false" ht="15" hidden="false" customHeight="false" outlineLevel="0" collapsed="false">
      <c r="A5" s="0" t="s">
        <v>25</v>
      </c>
      <c r="B5" s="103" t="s">
        <v>109</v>
      </c>
      <c r="C5" s="103"/>
      <c r="D5" s="0" t="n">
        <f aca="false">Dati_OPTN!C38/(Dati_OPTN!C15+Dati_OPTN!P61)</f>
        <v>0.0802560315115707</v>
      </c>
      <c r="E5" s="0" t="n">
        <f aca="false">D5+0.02</f>
        <v>0.100256031511571</v>
      </c>
      <c r="G5" s="0" t="s">
        <v>25</v>
      </c>
      <c r="H5" s="103" t="s">
        <v>110</v>
      </c>
      <c r="I5" s="103"/>
      <c r="J5" s="103"/>
      <c r="K5" s="0" t="n">
        <f aca="false">Dati_OPTN!P61/(Dati_OPTN!C38+Dati_OPTN!C15)</f>
        <v>0.290588235294118</v>
      </c>
      <c r="L5" s="0" t="n">
        <v>0.38</v>
      </c>
      <c r="M5" s="0" t="n">
        <f aca="false">K5+L5</f>
        <v>0.670588235294118</v>
      </c>
    </row>
    <row r="6" customFormat="false" ht="15" hidden="false" customHeight="false" outlineLevel="0" collapsed="false">
      <c r="A6" s="0" t="s">
        <v>26</v>
      </c>
      <c r="B6" s="103" t="s">
        <v>109</v>
      </c>
      <c r="C6" s="103"/>
      <c r="D6" s="0" t="n">
        <f aca="false">Dati_OPTN!C42/(Dati_OPTN!C19+Dati_OPTN!P65)</f>
        <v>0.0523560209424084</v>
      </c>
      <c r="E6" s="0" t="n">
        <f aca="false">D6+0.02</f>
        <v>0.0723560209424084</v>
      </c>
      <c r="G6" s="0" t="s">
        <v>26</v>
      </c>
      <c r="H6" s="103" t="s">
        <v>110</v>
      </c>
      <c r="I6" s="103"/>
      <c r="J6" s="103"/>
      <c r="K6" s="0" t="n">
        <f aca="false">Dati_OPTN!P65/(Dati_OPTN!C42+Dati_OPTN!C19)</f>
        <v>0.187943262411348</v>
      </c>
      <c r="L6" s="0" t="n">
        <v>0.5</v>
      </c>
      <c r="M6" s="0" t="n">
        <f aca="false">K6+L6</f>
        <v>0.687943262411348</v>
      </c>
    </row>
    <row r="7" customFormat="false" ht="15" hidden="false" customHeight="false" outlineLevel="0" collapsed="false">
      <c r="C7" s="29"/>
    </row>
    <row r="9" customFormat="false" ht="15" hidden="false" customHeight="false" outlineLevel="0" collapsed="false">
      <c r="A9" s="104" t="s">
        <v>111</v>
      </c>
      <c r="B9" s="104"/>
      <c r="C9" s="104"/>
      <c r="D9" s="104"/>
      <c r="E9" s="104"/>
      <c r="F9" s="104"/>
      <c r="G9" s="104"/>
      <c r="I9" s="104" t="s">
        <v>112</v>
      </c>
      <c r="J9" s="104"/>
      <c r="K9" s="104"/>
      <c r="L9" s="104"/>
      <c r="M9" s="104"/>
      <c r="N9" s="104"/>
      <c r="O9" s="104"/>
      <c r="P9" s="104"/>
    </row>
    <row r="10" customFormat="false" ht="15" hidden="false" customHeight="false" outlineLevel="0" collapsed="false">
      <c r="A10" s="0" t="s">
        <v>23</v>
      </c>
      <c r="B10" s="0" t="s">
        <v>113</v>
      </c>
      <c r="C10" s="103" t="s">
        <v>114</v>
      </c>
      <c r="D10" s="103"/>
      <c r="E10" s="103"/>
      <c r="F10" s="103"/>
      <c r="G10" s="0" t="n">
        <f aca="false">Dati_OPTN!C8/365*(1-M3-E3)</f>
        <v>0.0192311094170691</v>
      </c>
      <c r="I10" s="0" t="s">
        <v>23</v>
      </c>
      <c r="J10" s="105" t="s">
        <v>113</v>
      </c>
      <c r="K10" s="105"/>
      <c r="L10" s="103" t="s">
        <v>115</v>
      </c>
      <c r="M10" s="103"/>
      <c r="N10" s="103"/>
      <c r="O10" s="103"/>
      <c r="P10" s="0" t="n">
        <f aca="false">G10</f>
        <v>0.0192311094170691</v>
      </c>
    </row>
    <row r="11" customFormat="false" ht="15" hidden="false" customHeight="false" outlineLevel="0" collapsed="false">
      <c r="B11" s="0" t="s">
        <v>116</v>
      </c>
      <c r="C11" s="103" t="s">
        <v>117</v>
      </c>
      <c r="D11" s="103"/>
      <c r="E11" s="103"/>
      <c r="F11" s="103"/>
      <c r="G11" s="0" t="n">
        <f aca="false">Dati_OPTN!C9/365*(1-M3-E3)</f>
        <v>15.5691013185978</v>
      </c>
      <c r="J11" s="105" t="s">
        <v>116</v>
      </c>
      <c r="K11" s="105"/>
      <c r="L11" s="103" t="s">
        <v>118</v>
      </c>
      <c r="M11" s="103"/>
      <c r="N11" s="103"/>
      <c r="O11" s="103"/>
      <c r="P11" s="0" t="n">
        <f aca="false">G11+G19</f>
        <v>20.5661532760752</v>
      </c>
    </row>
    <row r="12" customFormat="false" ht="15" hidden="false" customHeight="false" outlineLevel="0" collapsed="false">
      <c r="A12" s="0" t="s">
        <v>24</v>
      </c>
      <c r="B12" s="0" t="s">
        <v>113</v>
      </c>
      <c r="C12" s="103" t="s">
        <v>119</v>
      </c>
      <c r="D12" s="103"/>
      <c r="E12" s="103"/>
      <c r="F12" s="103"/>
      <c r="G12" s="0" t="n">
        <f aca="false">Dati_OPTN!C12/365*(1-M4-E4)</f>
        <v>0.00969356732760973</v>
      </c>
      <c r="I12" s="0" t="s">
        <v>24</v>
      </c>
      <c r="J12" s="105" t="s">
        <v>113</v>
      </c>
      <c r="K12" s="105"/>
      <c r="L12" s="103" t="s">
        <v>120</v>
      </c>
      <c r="M12" s="103"/>
      <c r="N12" s="103"/>
      <c r="O12" s="103"/>
      <c r="P12" s="0" t="n">
        <f aca="false">G12</f>
        <v>0.00969356732760973</v>
      </c>
    </row>
    <row r="13" customFormat="false" ht="15" hidden="false" customHeight="false" outlineLevel="0" collapsed="false">
      <c r="B13" s="0" t="s">
        <v>116</v>
      </c>
      <c r="C13" s="103" t="s">
        <v>121</v>
      </c>
      <c r="D13" s="103"/>
      <c r="E13" s="103"/>
      <c r="F13" s="103"/>
      <c r="G13" s="0" t="n">
        <f aca="false">Dati_OPTN!C13/365*(1-M4-E4)</f>
        <v>9.61117200532505</v>
      </c>
      <c r="J13" s="105" t="s">
        <v>116</v>
      </c>
      <c r="K13" s="105"/>
      <c r="L13" s="103" t="s">
        <v>122</v>
      </c>
      <c r="M13" s="103"/>
      <c r="N13" s="103"/>
      <c r="O13" s="103"/>
      <c r="P13" s="0" t="n">
        <f aca="false">G13+G20</f>
        <v>13.0320319152385</v>
      </c>
    </row>
    <row r="14" customFormat="false" ht="15" hidden="false" customHeight="false" outlineLevel="0" collapsed="false">
      <c r="A14" s="0" t="s">
        <v>25</v>
      </c>
      <c r="B14" s="0" t="s">
        <v>113</v>
      </c>
      <c r="C14" s="103" t="s">
        <v>123</v>
      </c>
      <c r="D14" s="103"/>
      <c r="E14" s="103"/>
      <c r="F14" s="103"/>
      <c r="G14" s="0" t="n">
        <f aca="false">Dati_OPTN!C16/365*(1-M5-E5)</f>
        <v>0.00627823926559758</v>
      </c>
      <c r="I14" s="0" t="s">
        <v>25</v>
      </c>
      <c r="J14" s="105" t="s">
        <v>113</v>
      </c>
      <c r="K14" s="105"/>
      <c r="L14" s="103" t="s">
        <v>124</v>
      </c>
      <c r="M14" s="103"/>
      <c r="N14" s="103"/>
      <c r="O14" s="103"/>
      <c r="P14" s="0" t="n">
        <f aca="false">G14</f>
        <v>0.00627823926559758</v>
      </c>
    </row>
    <row r="15" customFormat="false" ht="15" hidden="false" customHeight="false" outlineLevel="0" collapsed="false">
      <c r="B15" s="0" t="s">
        <v>116</v>
      </c>
      <c r="C15" s="103" t="s">
        <v>125</v>
      </c>
      <c r="D15" s="103"/>
      <c r="E15" s="103"/>
      <c r="F15" s="103"/>
      <c r="G15" s="0" t="n">
        <f aca="false">Dati_OPTN!C17/365*(1-M5-E5)</f>
        <v>2.9438663916387</v>
      </c>
      <c r="J15" s="105" t="s">
        <v>116</v>
      </c>
      <c r="K15" s="105"/>
      <c r="L15" s="103" t="s">
        <v>126</v>
      </c>
      <c r="M15" s="103"/>
      <c r="N15" s="103"/>
      <c r="O15" s="103"/>
      <c r="P15" s="0" t="n">
        <f aca="false">G15+G21</f>
        <v>3.85358326122379</v>
      </c>
    </row>
    <row r="16" customFormat="false" ht="15" hidden="false" customHeight="false" outlineLevel="0" collapsed="false">
      <c r="A16" s="0" t="s">
        <v>26</v>
      </c>
      <c r="B16" s="0" t="s">
        <v>127</v>
      </c>
      <c r="C16" s="103" t="s">
        <v>128</v>
      </c>
      <c r="D16" s="103"/>
      <c r="E16" s="103"/>
      <c r="F16" s="103"/>
      <c r="G16" s="0" t="n">
        <f aca="false">Dati_OPTN!C20/365*(1-M6-E6)</f>
        <v>0.00131342858436298</v>
      </c>
      <c r="I16" s="0" t="s">
        <v>26</v>
      </c>
      <c r="J16" s="105" t="s">
        <v>127</v>
      </c>
      <c r="K16" s="105"/>
      <c r="L16" s="103" t="s">
        <v>129</v>
      </c>
      <c r="M16" s="103"/>
      <c r="N16" s="103"/>
      <c r="O16" s="103"/>
      <c r="P16" s="0" t="n">
        <f aca="false">G16</f>
        <v>0.00131342858436298</v>
      </c>
    </row>
    <row r="17" customFormat="false" ht="15" hidden="false" customHeight="false" outlineLevel="0" collapsed="false">
      <c r="B17" s="0" t="s">
        <v>116</v>
      </c>
      <c r="C17" s="103" t="s">
        <v>130</v>
      </c>
      <c r="D17" s="103"/>
      <c r="E17" s="103"/>
      <c r="F17" s="103"/>
      <c r="G17" s="0" t="n">
        <f aca="false">Dati_OPTN!C21/365*(1-M6-E6)</f>
        <v>0.761788578930529</v>
      </c>
      <c r="J17" s="105" t="s">
        <v>116</v>
      </c>
      <c r="K17" s="105"/>
      <c r="L17" s="103" t="s">
        <v>131</v>
      </c>
      <c r="M17" s="103"/>
      <c r="N17" s="103"/>
      <c r="O17" s="103"/>
      <c r="P17" s="0" t="n">
        <f aca="false">G17+G22</f>
        <v>1.04417572456857</v>
      </c>
    </row>
    <row r="18" customFormat="false" ht="15" hidden="false" customHeight="false" outlineLevel="0" collapsed="false">
      <c r="A18" s="104" t="s">
        <v>132</v>
      </c>
      <c r="B18" s="104"/>
      <c r="C18" s="104"/>
      <c r="D18" s="104"/>
      <c r="E18" s="104"/>
      <c r="F18" s="104"/>
      <c r="G18" s="104"/>
      <c r="I18" s="104" t="s">
        <v>133</v>
      </c>
      <c r="J18" s="104"/>
      <c r="K18" s="104"/>
      <c r="L18" s="104"/>
      <c r="M18" s="104"/>
      <c r="N18" s="104"/>
      <c r="O18" s="104"/>
      <c r="P18" s="104"/>
      <c r="Q18" s="104"/>
      <c r="S18" s="29"/>
      <c r="T18" s="29"/>
    </row>
    <row r="19" customFormat="false" ht="15" hidden="false" customHeight="false" outlineLevel="0" collapsed="false">
      <c r="A19" s="0" t="s">
        <v>23</v>
      </c>
      <c r="B19" s="0" t="s">
        <v>134</v>
      </c>
      <c r="C19" s="103" t="s">
        <v>135</v>
      </c>
      <c r="D19" s="103"/>
      <c r="E19" s="103"/>
      <c r="F19" s="103"/>
      <c r="G19" s="0" t="n">
        <f aca="false">Dati_OPTN!C10/365*(1-M3-E3)</f>
        <v>4.99705195747739</v>
      </c>
      <c r="I19" s="0" t="s">
        <v>23</v>
      </c>
      <c r="J19" s="103" t="s">
        <v>136</v>
      </c>
      <c r="K19" s="103"/>
      <c r="L19" s="103"/>
      <c r="M19" s="103"/>
      <c r="N19" s="103"/>
      <c r="O19" s="103"/>
      <c r="P19" s="103"/>
      <c r="Q19" s="0" t="n">
        <f aca="false">G10+G11+G19</f>
        <v>20.5853843854922</v>
      </c>
    </row>
    <row r="20" customFormat="false" ht="15" hidden="false" customHeight="false" outlineLevel="0" collapsed="false">
      <c r="A20" s="0" t="s">
        <v>24</v>
      </c>
      <c r="B20" s="0" t="s">
        <v>134</v>
      </c>
      <c r="C20" s="103" t="s">
        <v>137</v>
      </c>
      <c r="D20" s="103"/>
      <c r="E20" s="103"/>
      <c r="F20" s="103"/>
      <c r="G20" s="0" t="n">
        <f aca="false">Dati_OPTN!C14/365*(1-M4-E4)</f>
        <v>3.42085990991347</v>
      </c>
      <c r="I20" s="0" t="s">
        <v>24</v>
      </c>
      <c r="J20" s="103" t="s">
        <v>138</v>
      </c>
      <c r="K20" s="103"/>
      <c r="L20" s="103"/>
      <c r="M20" s="103"/>
      <c r="N20" s="103"/>
      <c r="O20" s="103"/>
      <c r="P20" s="103"/>
      <c r="Q20" s="0" t="n">
        <f aca="false">G12+G13+G20</f>
        <v>13.0417254825661</v>
      </c>
    </row>
    <row r="21" customFormat="false" ht="15" hidden="false" customHeight="false" outlineLevel="0" collapsed="false">
      <c r="A21" s="0" t="s">
        <v>25</v>
      </c>
      <c r="B21" s="0" t="s">
        <v>134</v>
      </c>
      <c r="C21" s="103" t="s">
        <v>139</v>
      </c>
      <c r="D21" s="103"/>
      <c r="E21" s="103"/>
      <c r="F21" s="103"/>
      <c r="G21" s="0" t="n">
        <f aca="false">Dati_OPTN!C18/365*(1-M5-E5)</f>
        <v>0.909716869585089</v>
      </c>
      <c r="I21" s="0" t="s">
        <v>25</v>
      </c>
      <c r="J21" s="103" t="s">
        <v>140</v>
      </c>
      <c r="K21" s="103"/>
      <c r="L21" s="103"/>
      <c r="M21" s="103"/>
      <c r="N21" s="103"/>
      <c r="O21" s="103"/>
      <c r="P21" s="103"/>
      <c r="Q21" s="0" t="n">
        <f aca="false">G14+G15+G21</f>
        <v>3.85986150048939</v>
      </c>
    </row>
    <row r="22" customFormat="false" ht="15" hidden="false" customHeight="false" outlineLevel="0" collapsed="false">
      <c r="A22" s="0" t="s">
        <v>26</v>
      </c>
      <c r="B22" s="0" t="s">
        <v>134</v>
      </c>
      <c r="C22" s="103" t="s">
        <v>141</v>
      </c>
      <c r="D22" s="103"/>
      <c r="E22" s="103"/>
      <c r="F22" s="103"/>
      <c r="G22" s="0" t="n">
        <f aca="false">Dati_OPTN!C22/365*(1-M6-E6)</f>
        <v>0.282387145638041</v>
      </c>
      <c r="I22" s="0" t="s">
        <v>26</v>
      </c>
      <c r="J22" s="103" t="s">
        <v>142</v>
      </c>
      <c r="K22" s="103"/>
      <c r="L22" s="103"/>
      <c r="M22" s="103"/>
      <c r="N22" s="103"/>
      <c r="O22" s="103"/>
      <c r="P22" s="103"/>
      <c r="Q22" s="0" t="n">
        <f aca="false">G16+G17+G22</f>
        <v>1.04548915315293</v>
      </c>
    </row>
    <row r="25" customFormat="false" ht="15" hidden="false" customHeight="false" outlineLevel="0" collapsed="false">
      <c r="A25" s="106" t="s">
        <v>143</v>
      </c>
      <c r="B25" s="106"/>
      <c r="C25" s="106"/>
      <c r="D25" s="106"/>
      <c r="E25" s="106"/>
      <c r="F25" s="106"/>
      <c r="I25" s="106" t="s">
        <v>144</v>
      </c>
      <c r="J25" s="106"/>
      <c r="K25" s="106"/>
      <c r="L25" s="106"/>
      <c r="M25" s="106"/>
      <c r="N25" s="106"/>
      <c r="Q25" s="106" t="s">
        <v>145</v>
      </c>
      <c r="R25" s="106"/>
      <c r="S25" s="106"/>
      <c r="T25" s="106"/>
      <c r="U25" s="106"/>
      <c r="V25" s="106"/>
      <c r="Y25" s="106" t="s">
        <v>146</v>
      </c>
      <c r="Z25" s="106"/>
      <c r="AA25" s="106"/>
      <c r="AB25" s="106"/>
      <c r="AC25" s="106"/>
    </row>
    <row r="26" customFormat="false" ht="15" hidden="false" customHeight="false" outlineLevel="0" collapsed="false">
      <c r="A26" s="29" t="s">
        <v>104</v>
      </c>
      <c r="B26" s="102" t="s">
        <v>105</v>
      </c>
      <c r="C26" s="102"/>
      <c r="D26" s="102"/>
      <c r="E26" s="29" t="s">
        <v>96</v>
      </c>
      <c r="F26" s="29" t="s">
        <v>147</v>
      </c>
      <c r="I26" s="29" t="s">
        <v>104</v>
      </c>
      <c r="J26" s="102" t="s">
        <v>105</v>
      </c>
      <c r="K26" s="102"/>
      <c r="L26" s="102"/>
      <c r="M26" s="102"/>
      <c r="N26" s="29" t="s">
        <v>148</v>
      </c>
      <c r="Q26" s="29" t="s">
        <v>104</v>
      </c>
      <c r="R26" s="102" t="s">
        <v>105</v>
      </c>
      <c r="S26" s="102"/>
      <c r="T26" s="102"/>
      <c r="U26" s="102"/>
      <c r="V26" s="29" t="s">
        <v>149</v>
      </c>
      <c r="Y26" s="29" t="s">
        <v>104</v>
      </c>
      <c r="Z26" s="102" t="s">
        <v>105</v>
      </c>
      <c r="AA26" s="102"/>
      <c r="AB26" s="29" t="s">
        <v>70</v>
      </c>
      <c r="AC26" s="29" t="s">
        <v>150</v>
      </c>
    </row>
    <row r="27" customFormat="false" ht="15" hidden="false" customHeight="false" outlineLevel="0" collapsed="false">
      <c r="A27" s="0" t="s">
        <v>23</v>
      </c>
      <c r="B27" s="103" t="s">
        <v>151</v>
      </c>
      <c r="C27" s="103"/>
      <c r="D27" s="103"/>
      <c r="E27" s="0" t="n">
        <f aca="false">Arrivi!D31/Arrivi!D29</f>
        <v>0.459801964060144</v>
      </c>
      <c r="F27" s="0" t="n">
        <f aca="false">1-E27</f>
        <v>0.540198035939856</v>
      </c>
      <c r="I27" s="0" t="s">
        <v>23</v>
      </c>
      <c r="J27" s="103" t="s">
        <v>152</v>
      </c>
      <c r="K27" s="103"/>
      <c r="L27" s="103"/>
      <c r="M27" s="103"/>
      <c r="N27" s="0" t="n">
        <f aca="false">1/(2*E27*Arrivi!H31)</f>
        <v>0.0922402987025943</v>
      </c>
      <c r="Q27" s="0" t="s">
        <v>23</v>
      </c>
      <c r="R27" s="103" t="s">
        <v>153</v>
      </c>
      <c r="S27" s="103"/>
      <c r="T27" s="103"/>
      <c r="U27" s="103"/>
      <c r="V27" s="0" t="n">
        <f aca="false">1/(2*F27*Arrivi!H30)</f>
        <v>0.0634797193073525</v>
      </c>
      <c r="Y27" s="0" t="s">
        <v>23</v>
      </c>
      <c r="Z27" s="103" t="s">
        <v>154</v>
      </c>
      <c r="AA27" s="103"/>
      <c r="AB27" s="0" t="n">
        <f aca="false">E27*N27+F27*V27</f>
        <v>0.0767038902007924</v>
      </c>
      <c r="AC27" s="0" t="n">
        <f aca="false">1/AB27</f>
        <v>13.0371484077566</v>
      </c>
    </row>
    <row r="28" customFormat="false" ht="15" hidden="false" customHeight="false" outlineLevel="0" collapsed="false">
      <c r="A28" s="0" t="s">
        <v>24</v>
      </c>
      <c r="B28" s="103" t="s">
        <v>155</v>
      </c>
      <c r="C28" s="103"/>
      <c r="D28" s="103"/>
      <c r="E28" s="0" t="n">
        <f aca="false">Arrivi!D34/Arrivi!D32</f>
        <v>0.325700245700246</v>
      </c>
      <c r="F28" s="0" t="n">
        <f aca="false">1-E28</f>
        <v>0.674299754299754</v>
      </c>
      <c r="I28" s="0" t="s">
        <v>24</v>
      </c>
      <c r="J28" s="103" t="s">
        <v>156</v>
      </c>
      <c r="K28" s="103"/>
      <c r="L28" s="103"/>
      <c r="M28" s="103"/>
      <c r="N28" s="0" t="n">
        <f aca="false">1/(2*E28*Arrivi!H34)</f>
        <v>0.296628465214709</v>
      </c>
      <c r="Q28" s="0" t="s">
        <v>24</v>
      </c>
      <c r="R28" s="103" t="s">
        <v>157</v>
      </c>
      <c r="S28" s="103"/>
      <c r="T28" s="103"/>
      <c r="U28" s="103"/>
      <c r="V28" s="0" t="n">
        <f aca="false">1/(2*F28*Arrivi!H33)</f>
        <v>0.0655806019258743</v>
      </c>
      <c r="Y28" s="0" t="s">
        <v>24</v>
      </c>
      <c r="Z28" s="103" t="s">
        <v>154</v>
      </c>
      <c r="AA28" s="103"/>
      <c r="AB28" s="0" t="n">
        <f aca="false">E28*N28+F28*V28</f>
        <v>0.140832947767565</v>
      </c>
      <c r="AC28" s="0" t="n">
        <f aca="false">1/AB28</f>
        <v>7.10061115563976</v>
      </c>
    </row>
    <row r="29" customFormat="false" ht="15" hidden="false" customHeight="false" outlineLevel="0" collapsed="false">
      <c r="A29" s="0" t="s">
        <v>25</v>
      </c>
      <c r="B29" s="103" t="s">
        <v>158</v>
      </c>
      <c r="C29" s="103"/>
      <c r="D29" s="103"/>
      <c r="E29" s="0" t="n">
        <f aca="false">Arrivi!D37/Arrivi!D35</f>
        <v>0.309081309398099</v>
      </c>
      <c r="F29" s="0" t="n">
        <f aca="false">1-E29</f>
        <v>0.690918690601901</v>
      </c>
      <c r="I29" s="0" t="s">
        <v>25</v>
      </c>
      <c r="J29" s="103" t="s">
        <v>159</v>
      </c>
      <c r="K29" s="103"/>
      <c r="L29" s="103"/>
      <c r="M29" s="103"/>
      <c r="N29" s="0" t="n">
        <f aca="false">1/(2*E29*Arrivi!H37)</f>
        <v>1.05063970615949</v>
      </c>
      <c r="Q29" s="0" t="s">
        <v>25</v>
      </c>
      <c r="R29" s="103" t="s">
        <v>160</v>
      </c>
      <c r="S29" s="103"/>
      <c r="T29" s="103"/>
      <c r="U29" s="103"/>
      <c r="V29" s="0" t="n">
        <f aca="false">1/(2*F29*Arrivi!H36)</f>
        <v>0.201173699001474</v>
      </c>
      <c r="Y29" s="0" t="s">
        <v>25</v>
      </c>
      <c r="Z29" s="103" t="s">
        <v>154</v>
      </c>
      <c r="AA29" s="103"/>
      <c r="AB29" s="0" t="n">
        <f aca="false">E29*N29+F29*V29</f>
        <v>0.463727764783048</v>
      </c>
      <c r="AC29" s="0" t="n">
        <f aca="false">1/AB29</f>
        <v>2.15643762557078</v>
      </c>
    </row>
    <row r="30" customFormat="false" ht="15" hidden="false" customHeight="false" outlineLevel="0" collapsed="false">
      <c r="A30" s="0" t="s">
        <v>26</v>
      </c>
      <c r="B30" s="103" t="s">
        <v>161</v>
      </c>
      <c r="C30" s="103"/>
      <c r="D30" s="103"/>
      <c r="E30" s="0" t="n">
        <f aca="false">Arrivi!D40/Arrivi!D38</f>
        <v>0.200586264656616</v>
      </c>
      <c r="F30" s="0" t="n">
        <f aca="false">1-E30</f>
        <v>0.799413735343384</v>
      </c>
      <c r="I30" s="0" t="s">
        <v>26</v>
      </c>
      <c r="J30" s="103" t="s">
        <v>162</v>
      </c>
      <c r="K30" s="103"/>
      <c r="L30" s="103"/>
      <c r="M30" s="103"/>
      <c r="N30" s="0" t="n">
        <f aca="false">1/(2*E30*Arrivi!H40)</f>
        <v>8.12350879809126</v>
      </c>
      <c r="Q30" s="0" t="s">
        <v>26</v>
      </c>
      <c r="R30" s="103" t="s">
        <v>163</v>
      </c>
      <c r="S30" s="103"/>
      <c r="T30" s="103"/>
      <c r="U30" s="103"/>
      <c r="V30" s="0" t="n">
        <f aca="false">1/(2*F30*Arrivi!H39)</f>
        <v>0.585364870854656</v>
      </c>
      <c r="Y30" s="0" t="s">
        <v>26</v>
      </c>
      <c r="Z30" s="103" t="s">
        <v>154</v>
      </c>
      <c r="AA30" s="103"/>
      <c r="AB30" s="0" t="n">
        <f aca="false">E30*N30+F30*V30</f>
        <v>2.097413003663</v>
      </c>
      <c r="AC30" s="0" t="n">
        <f aca="false">1/AB30</f>
        <v>0.476777820225946</v>
      </c>
    </row>
    <row r="33" customFormat="false" ht="15" hidden="false" customHeight="false" outlineLevel="0" collapsed="false">
      <c r="A33" s="107" t="s">
        <v>164</v>
      </c>
      <c r="B33" s="107"/>
      <c r="C33" s="107"/>
      <c r="D33" s="107"/>
      <c r="F33" s="108" t="s">
        <v>165</v>
      </c>
      <c r="G33" s="108"/>
      <c r="H33" s="108"/>
      <c r="I33" s="108"/>
    </row>
    <row r="34" customFormat="false" ht="15" hidden="false" customHeight="false" outlineLevel="0" collapsed="false">
      <c r="A34" s="0" t="s">
        <v>23</v>
      </c>
      <c r="B34" s="109" t="s">
        <v>166</v>
      </c>
      <c r="C34" s="109"/>
      <c r="D34" s="0" t="n">
        <f aca="false">Q19*AB27</f>
        <v>1.5789790636459</v>
      </c>
      <c r="F34" s="0" t="s">
        <v>23</v>
      </c>
      <c r="G34" s="103" t="s">
        <v>167</v>
      </c>
      <c r="H34" s="103"/>
      <c r="I34" s="0" t="n">
        <f aca="false">1/(2*E27*F27)-1</f>
        <v>1.01301115471505</v>
      </c>
    </row>
    <row r="35" customFormat="false" ht="15" hidden="false" customHeight="false" outlineLevel="0" collapsed="false">
      <c r="A35" s="0" t="s">
        <v>24</v>
      </c>
      <c r="B35" s="109" t="s">
        <v>168</v>
      </c>
      <c r="C35" s="109"/>
      <c r="D35" s="0" t="n">
        <f aca="false">Q20*AB28</f>
        <v>1.83670464368515</v>
      </c>
      <c r="F35" s="0" t="s">
        <v>24</v>
      </c>
      <c r="G35" s="103" t="s">
        <v>167</v>
      </c>
      <c r="H35" s="103"/>
      <c r="I35" s="0" t="n">
        <f aca="false">1/(2*E28*F28)-1</f>
        <v>1.2766638765443</v>
      </c>
    </row>
    <row r="36" customFormat="false" ht="15" hidden="false" customHeight="false" outlineLevel="0" collapsed="false">
      <c r="A36" s="0" t="s">
        <v>25</v>
      </c>
      <c r="B36" s="109" t="s">
        <v>169</v>
      </c>
      <c r="C36" s="109"/>
      <c r="D36" s="0" t="n">
        <f aca="false">Q21*AB29</f>
        <v>1.78992494599409</v>
      </c>
      <c r="F36" s="0" t="s">
        <v>25</v>
      </c>
      <c r="G36" s="103" t="s">
        <v>167</v>
      </c>
      <c r="H36" s="103"/>
      <c r="I36" s="0" t="n">
        <f aca="false">1/(2*E29*F29)-1</f>
        <v>1.3413714565769</v>
      </c>
    </row>
    <row r="37" customFormat="false" ht="15" hidden="false" customHeight="false" outlineLevel="0" collapsed="false">
      <c r="A37" s="0" t="s">
        <v>26</v>
      </c>
      <c r="B37" s="109" t="s">
        <v>170</v>
      </c>
      <c r="C37" s="109"/>
      <c r="D37" s="0" t="n">
        <f aca="false">Q22*AB30</f>
        <v>2.19282254501158</v>
      </c>
      <c r="F37" s="0" t="s">
        <v>26</v>
      </c>
      <c r="G37" s="103" t="s">
        <v>167</v>
      </c>
      <c r="H37" s="103"/>
      <c r="I37" s="0" t="n">
        <f aca="false">1/(2*E30*F30)-1</f>
        <v>2.11815146580695</v>
      </c>
    </row>
    <row r="40" customFormat="false" ht="15" hidden="false" customHeight="false" outlineLevel="0" collapsed="false">
      <c r="A40" s="107" t="s">
        <v>171</v>
      </c>
      <c r="B40" s="107"/>
      <c r="C40" s="107"/>
      <c r="D40" s="107"/>
    </row>
    <row r="41" customFormat="false" ht="15" hidden="false" customHeight="false" outlineLevel="0" collapsed="false">
      <c r="A41" s="29" t="s">
        <v>104</v>
      </c>
      <c r="B41" s="29" t="s">
        <v>172</v>
      </c>
      <c r="C41" s="29" t="s">
        <v>173</v>
      </c>
      <c r="D41" s="29" t="s">
        <v>174</v>
      </c>
    </row>
    <row r="42" customFormat="false" ht="15" hidden="false" customHeight="false" outlineLevel="0" collapsed="false">
      <c r="A42" s="0" t="s">
        <v>23</v>
      </c>
      <c r="B42" s="0" t="s">
        <v>175</v>
      </c>
      <c r="C42" s="0" t="n">
        <f aca="false">P10/Q19</f>
        <v>0.000934211820237978</v>
      </c>
      <c r="D42" s="0" t="n">
        <f aca="false">C42*D34</f>
        <v>0.0014751009051663</v>
      </c>
    </row>
    <row r="43" customFormat="false" ht="15" hidden="false" customHeight="false" outlineLevel="0" collapsed="false">
      <c r="B43" s="0" t="s">
        <v>176</v>
      </c>
      <c r="C43" s="0" t="n">
        <f aca="false">P11/Q19</f>
        <v>0.999065788179762</v>
      </c>
      <c r="D43" s="0" t="n">
        <f aca="false">C43*D34</f>
        <v>1.57750396274074</v>
      </c>
    </row>
    <row r="44" customFormat="false" ht="15" hidden="false" customHeight="false" outlineLevel="0" collapsed="false">
      <c r="A44" s="0" t="s">
        <v>24</v>
      </c>
      <c r="B44" s="0" t="s">
        <v>175</v>
      </c>
      <c r="C44" s="0" t="n">
        <f aca="false">P12/Q20</f>
        <v>0.000743273375947674</v>
      </c>
      <c r="D44" s="0" t="n">
        <f aca="false">C44*D35</f>
        <v>0.00136517366113063</v>
      </c>
    </row>
    <row r="45" customFormat="false" ht="15" hidden="false" customHeight="false" outlineLevel="0" collapsed="false">
      <c r="B45" s="0" t="s">
        <v>176</v>
      </c>
      <c r="C45" s="0" t="n">
        <f aca="false">P13/Q20</f>
        <v>0.999256726624052</v>
      </c>
      <c r="D45" s="0" t="n">
        <f aca="false">C45*D35</f>
        <v>1.83533947002402</v>
      </c>
    </row>
    <row r="46" customFormat="false" ht="15" hidden="false" customHeight="false" outlineLevel="0" collapsed="false">
      <c r="A46" s="0" t="s">
        <v>25</v>
      </c>
      <c r="B46" s="0" t="s">
        <v>175</v>
      </c>
      <c r="C46" s="0" t="n">
        <f aca="false">P14/Q21</f>
        <v>0.00162654521795706</v>
      </c>
      <c r="D46" s="0" t="n">
        <f aca="false">C46*D36</f>
        <v>0.00291139386140873</v>
      </c>
    </row>
    <row r="47" customFormat="false" ht="15" hidden="false" customHeight="false" outlineLevel="0" collapsed="false">
      <c r="B47" s="0" t="s">
        <v>176</v>
      </c>
      <c r="C47" s="0" t="n">
        <f aca="false">P15/Q21</f>
        <v>0.998373454782043</v>
      </c>
      <c r="D47" s="0" t="n">
        <f aca="false">C47*D36</f>
        <v>1.78701355213268</v>
      </c>
    </row>
    <row r="48" customFormat="false" ht="15" hidden="false" customHeight="false" outlineLevel="0" collapsed="false">
      <c r="A48" s="0" t="s">
        <v>26</v>
      </c>
      <c r="B48" s="0" t="s">
        <v>175</v>
      </c>
      <c r="C48" s="0" t="n">
        <f aca="false">P16/Q22</f>
        <v>0.00125628140703518</v>
      </c>
      <c r="D48" s="0" t="n">
        <f aca="false">C48*D37</f>
        <v>0.00275480219222561</v>
      </c>
    </row>
    <row r="49" customFormat="false" ht="15" hidden="false" customHeight="false" outlineLevel="0" collapsed="false">
      <c r="B49" s="0" t="s">
        <v>176</v>
      </c>
      <c r="C49" s="0" t="n">
        <f aca="false">P17/Q22</f>
        <v>0.998743718592965</v>
      </c>
      <c r="D49" s="0" t="n">
        <f aca="false">C49*D37</f>
        <v>2.19006774281936</v>
      </c>
    </row>
    <row r="51" customFormat="false" ht="15" hidden="false" customHeight="false" outlineLevel="0" collapsed="false">
      <c r="A51" s="110" t="s">
        <v>177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</row>
    <row r="52" customFormat="false" ht="15" hidden="false" customHeight="false" outlineLevel="0" collapsed="false">
      <c r="A52" s="111" t="s">
        <v>178</v>
      </c>
      <c r="B52" s="111"/>
      <c r="C52" s="111"/>
      <c r="D52" s="111"/>
      <c r="E52" s="111"/>
      <c r="F52" s="111"/>
      <c r="I52" s="111" t="s">
        <v>179</v>
      </c>
      <c r="J52" s="111"/>
      <c r="K52" s="111"/>
      <c r="L52" s="111"/>
      <c r="M52" s="111"/>
      <c r="N52" s="111"/>
      <c r="O52" s="111"/>
    </row>
    <row r="53" customFormat="false" ht="15" hidden="false" customHeight="false" outlineLevel="0" collapsed="false">
      <c r="A53" s="29" t="s">
        <v>104</v>
      </c>
      <c r="B53" s="29" t="s">
        <v>180</v>
      </c>
      <c r="C53" s="102" t="s">
        <v>105</v>
      </c>
      <c r="D53" s="102"/>
      <c r="E53" s="102"/>
      <c r="F53" s="29" t="s">
        <v>181</v>
      </c>
      <c r="I53" s="29" t="s">
        <v>104</v>
      </c>
      <c r="J53" s="102" t="s">
        <v>180</v>
      </c>
      <c r="K53" s="102"/>
      <c r="L53" s="102" t="s">
        <v>105</v>
      </c>
      <c r="M53" s="102"/>
      <c r="N53" s="102"/>
      <c r="O53" s="29" t="s">
        <v>182</v>
      </c>
    </row>
    <row r="54" customFormat="false" ht="15" hidden="false" customHeight="false" outlineLevel="0" collapsed="false">
      <c r="A54" s="0" t="s">
        <v>23</v>
      </c>
      <c r="B54" s="0" t="s">
        <v>113</v>
      </c>
      <c r="C54" s="103" t="s">
        <v>183</v>
      </c>
      <c r="D54" s="103"/>
      <c r="E54" s="103"/>
      <c r="F54" s="0" t="n">
        <f aca="false">(D34*AB27*(1+I34))/(2*(1-D42))</f>
        <v>0.122081835186729</v>
      </c>
      <c r="I54" s="0" t="s">
        <v>23</v>
      </c>
      <c r="J54" s="103" t="s">
        <v>113</v>
      </c>
      <c r="K54" s="103"/>
      <c r="L54" s="103" t="s">
        <v>184</v>
      </c>
      <c r="M54" s="103"/>
      <c r="N54" s="103"/>
      <c r="O54" s="0" t="n">
        <f aca="false">F54+AB27</f>
        <v>0.198785725387522</v>
      </c>
    </row>
    <row r="55" customFormat="false" ht="15" hidden="false" customHeight="false" outlineLevel="0" collapsed="false">
      <c r="B55" s="0" t="s">
        <v>116</v>
      </c>
      <c r="C55" s="103" t="s">
        <v>185</v>
      </c>
      <c r="D55" s="103"/>
      <c r="E55" s="103"/>
      <c r="F55" s="0" t="n">
        <f aca="false">(D34*AB27*(1+I34))/(2*(1-D42)*(1-D34))</f>
        <v>-0.210857080768975</v>
      </c>
      <c r="J55" s="103" t="s">
        <v>116</v>
      </c>
      <c r="K55" s="103"/>
      <c r="L55" s="103" t="s">
        <v>186</v>
      </c>
      <c r="M55" s="103"/>
      <c r="N55" s="103"/>
      <c r="O55" s="0" t="n">
        <f aca="false">F55+AB27</f>
        <v>-0.134153190568182</v>
      </c>
      <c r="S55" s="112" t="s">
        <v>187</v>
      </c>
      <c r="T55" s="112"/>
    </row>
    <row r="56" customFormat="false" ht="15" hidden="false" customHeight="false" outlineLevel="0" collapsed="false">
      <c r="A56" s="0" t="s">
        <v>24</v>
      </c>
      <c r="B56" s="0" t="s">
        <v>113</v>
      </c>
      <c r="C56" s="103" t="s">
        <v>183</v>
      </c>
      <c r="D56" s="103"/>
      <c r="E56" s="103"/>
      <c r="F56" s="0" t="n">
        <f aca="false">(D35*AB28*(1+I35))/(2*(1-D44))</f>
        <v>0.294853173942647</v>
      </c>
      <c r="I56" s="0" t="s">
        <v>24</v>
      </c>
      <c r="J56" s="103" t="s">
        <v>113</v>
      </c>
      <c r="K56" s="103"/>
      <c r="L56" s="103" t="s">
        <v>184</v>
      </c>
      <c r="M56" s="103"/>
      <c r="N56" s="103"/>
      <c r="O56" s="0" t="n">
        <f aca="false">F56+AB28</f>
        <v>0.435686121710211</v>
      </c>
      <c r="S56" s="0" t="s">
        <v>23</v>
      </c>
      <c r="T56" s="113" t="b">
        <f aca="false">IF(Q19&lt;AC27,TRUE())</f>
        <v>0</v>
      </c>
    </row>
    <row r="57" customFormat="false" ht="15" hidden="false" customHeight="false" outlineLevel="0" collapsed="false">
      <c r="B57" s="0" t="s">
        <v>116</v>
      </c>
      <c r="C57" s="103" t="s">
        <v>185</v>
      </c>
      <c r="D57" s="103"/>
      <c r="E57" s="103"/>
      <c r="F57" s="0" t="n">
        <f aca="false">(D35*AB28*(1+I35))/(2*(1-D44)*(1-D35))</f>
        <v>-0.352398156467743</v>
      </c>
      <c r="J57" s="103" t="s">
        <v>116</v>
      </c>
      <c r="K57" s="103"/>
      <c r="L57" s="103" t="s">
        <v>186</v>
      </c>
      <c r="M57" s="103"/>
      <c r="N57" s="103"/>
      <c r="O57" s="0" t="n">
        <f aca="false">F57+AB28</f>
        <v>-0.211565208700178</v>
      </c>
      <c r="S57" s="0" t="s">
        <v>24</v>
      </c>
      <c r="T57" s="113" t="b">
        <f aca="false">IF(Q20&lt;AC28,TRUE())</f>
        <v>0</v>
      </c>
    </row>
    <row r="58" customFormat="false" ht="15" hidden="false" customHeight="false" outlineLevel="0" collapsed="false">
      <c r="A58" s="0" t="s">
        <v>25</v>
      </c>
      <c r="B58" s="0" t="s">
        <v>113</v>
      </c>
      <c r="C58" s="103" t="s">
        <v>183</v>
      </c>
      <c r="D58" s="103"/>
      <c r="E58" s="103"/>
      <c r="F58" s="0" t="n">
        <f aca="false">(D36*AB29*(1+I36))/(2*(1-D46))</f>
        <v>0.974550818106347</v>
      </c>
      <c r="I58" s="0" t="s">
        <v>25</v>
      </c>
      <c r="J58" s="103" t="s">
        <v>113</v>
      </c>
      <c r="K58" s="103"/>
      <c r="L58" s="103" t="s">
        <v>184</v>
      </c>
      <c r="M58" s="103"/>
      <c r="N58" s="103"/>
      <c r="O58" s="0" t="n">
        <f aca="false">F58+AB29</f>
        <v>1.4382785828894</v>
      </c>
      <c r="S58" s="0" t="s">
        <v>25</v>
      </c>
      <c r="T58" s="113" t="b">
        <f aca="false">IF(Q21&lt;AC29,TRUE())</f>
        <v>0</v>
      </c>
    </row>
    <row r="59" customFormat="false" ht="15" hidden="false" customHeight="false" outlineLevel="0" collapsed="false">
      <c r="B59" s="0" t="s">
        <v>116</v>
      </c>
      <c r="C59" s="103" t="s">
        <v>185</v>
      </c>
      <c r="D59" s="103"/>
      <c r="E59" s="103"/>
      <c r="F59" s="0" t="n">
        <f aca="false">(D36*AB29*(1+I36))/(2*(1-D46)*(1-D36))</f>
        <v>-1.23372584072518</v>
      </c>
      <c r="J59" s="103" t="s">
        <v>116</v>
      </c>
      <c r="K59" s="103"/>
      <c r="L59" s="103" t="s">
        <v>186</v>
      </c>
      <c r="M59" s="103"/>
      <c r="N59" s="103"/>
      <c r="O59" s="0" t="n">
        <f aca="false">F59+AB29</f>
        <v>-0.769998075942128</v>
      </c>
      <c r="S59" s="0" t="s">
        <v>26</v>
      </c>
      <c r="T59" s="113" t="b">
        <f aca="false">IF(Q22&lt;AC30,TRUE())</f>
        <v>0</v>
      </c>
    </row>
    <row r="60" customFormat="false" ht="15" hidden="false" customHeight="false" outlineLevel="0" collapsed="false">
      <c r="A60" s="0" t="s">
        <v>26</v>
      </c>
      <c r="B60" s="0" t="s">
        <v>127</v>
      </c>
      <c r="C60" s="103" t="s">
        <v>183</v>
      </c>
      <c r="D60" s="103"/>
      <c r="E60" s="103"/>
      <c r="F60" s="0" t="n">
        <f aca="false">(D37*AB30*(1+I37))/(2*(1-D48))</f>
        <v>7.19039422634274</v>
      </c>
      <c r="I60" s="0" t="s">
        <v>26</v>
      </c>
      <c r="J60" s="103" t="s">
        <v>127</v>
      </c>
      <c r="K60" s="103"/>
      <c r="L60" s="103" t="s">
        <v>184</v>
      </c>
      <c r="M60" s="103"/>
      <c r="N60" s="103"/>
      <c r="O60" s="0" t="n">
        <f aca="false">F60+AB30</f>
        <v>9.28780723000575</v>
      </c>
    </row>
    <row r="61" customFormat="false" ht="15" hidden="false" customHeight="false" outlineLevel="0" collapsed="false">
      <c r="B61" s="0" t="s">
        <v>116</v>
      </c>
      <c r="C61" s="103" t="s">
        <v>185</v>
      </c>
      <c r="D61" s="103"/>
      <c r="E61" s="103"/>
      <c r="F61" s="0" t="n">
        <f aca="false">(D37*AB30*(1+I37))/(2*(1-D48)*(1-D37))</f>
        <v>-6.02805023799489</v>
      </c>
      <c r="J61" s="103" t="s">
        <v>116</v>
      </c>
      <c r="K61" s="103"/>
      <c r="L61" s="103" t="s">
        <v>186</v>
      </c>
      <c r="M61" s="103"/>
      <c r="N61" s="103"/>
      <c r="O61" s="0" t="n">
        <f aca="false">F61+AB30</f>
        <v>-3.93063723433188</v>
      </c>
    </row>
    <row r="62" customFormat="false" ht="15" hidden="false" customHeight="false" outlineLevel="0" collapsed="false">
      <c r="A62" s="111" t="s">
        <v>188</v>
      </c>
      <c r="B62" s="111"/>
      <c r="C62" s="111"/>
      <c r="D62" s="111"/>
      <c r="E62" s="111"/>
      <c r="F62" s="111"/>
      <c r="I62" s="111" t="s">
        <v>189</v>
      </c>
      <c r="J62" s="111"/>
      <c r="K62" s="111"/>
      <c r="L62" s="111"/>
      <c r="M62" s="111"/>
      <c r="N62" s="111"/>
      <c r="O62" s="111"/>
    </row>
    <row r="63" customFormat="false" ht="15" hidden="false" customHeight="false" outlineLevel="0" collapsed="false">
      <c r="A63" s="29" t="s">
        <v>104</v>
      </c>
      <c r="B63" s="102" t="s">
        <v>105</v>
      </c>
      <c r="C63" s="102"/>
      <c r="D63" s="102"/>
      <c r="E63" s="102"/>
      <c r="F63" s="29" t="s">
        <v>181</v>
      </c>
      <c r="I63" s="29" t="s">
        <v>104</v>
      </c>
      <c r="J63" s="102" t="s">
        <v>105</v>
      </c>
      <c r="K63" s="102"/>
      <c r="L63" s="102"/>
      <c r="M63" s="102"/>
      <c r="N63" s="102"/>
      <c r="O63" s="29" t="s">
        <v>182</v>
      </c>
    </row>
    <row r="64" customFormat="false" ht="15" hidden="false" customHeight="false" outlineLevel="0" collapsed="false">
      <c r="A64" s="0" t="s">
        <v>23</v>
      </c>
      <c r="B64" s="103" t="s">
        <v>190</v>
      </c>
      <c r="C64" s="103"/>
      <c r="D64" s="103"/>
      <c r="E64" s="103"/>
      <c r="F64" s="0" t="n">
        <f aca="false">C42*F54+C43*F55</f>
        <v>-0.210546045298272</v>
      </c>
      <c r="I64" s="0" t="s">
        <v>23</v>
      </c>
      <c r="J64" s="103" t="s">
        <v>191</v>
      </c>
      <c r="K64" s="103"/>
      <c r="L64" s="103"/>
      <c r="M64" s="103"/>
      <c r="N64" s="103"/>
      <c r="O64" s="0" t="n">
        <f aca="false">C42*O54+C43*O55</f>
        <v>-0.133842155097479</v>
      </c>
    </row>
    <row r="65" customFormat="false" ht="15" hidden="false" customHeight="false" outlineLevel="0" collapsed="false">
      <c r="A65" s="0" t="s">
        <v>24</v>
      </c>
      <c r="B65" s="103" t="s">
        <v>190</v>
      </c>
      <c r="C65" s="103"/>
      <c r="D65" s="103"/>
      <c r="E65" s="103"/>
      <c r="F65" s="0" t="n">
        <f aca="false">C44*F56+C45*F57</f>
        <v>-0.351917071786302</v>
      </c>
      <c r="I65" s="0" t="s">
        <v>24</v>
      </c>
      <c r="J65" s="103" t="s">
        <v>191</v>
      </c>
      <c r="K65" s="103"/>
      <c r="L65" s="103"/>
      <c r="M65" s="103"/>
      <c r="N65" s="103"/>
      <c r="O65" s="0" t="n">
        <f aca="false">C44*O56+C45*O57</f>
        <v>-0.211084124018737</v>
      </c>
    </row>
    <row r="66" customFormat="false" ht="15" hidden="false" customHeight="false" outlineLevel="0" collapsed="false">
      <c r="A66" s="0" t="s">
        <v>25</v>
      </c>
      <c r="B66" s="103" t="s">
        <v>190</v>
      </c>
      <c r="C66" s="103"/>
      <c r="D66" s="103"/>
      <c r="E66" s="103"/>
      <c r="F66" s="0" t="n">
        <f aca="false">C46*F58+C47*F59</f>
        <v>-1.23013397888583</v>
      </c>
      <c r="I66" s="0" t="s">
        <v>25</v>
      </c>
      <c r="J66" s="103" t="s">
        <v>191</v>
      </c>
      <c r="K66" s="103"/>
      <c r="L66" s="103"/>
      <c r="M66" s="103"/>
      <c r="N66" s="103"/>
      <c r="O66" s="0" t="n">
        <f aca="false">C46*O58+C47*O59</f>
        <v>-0.76640621410278</v>
      </c>
    </row>
    <row r="67" customFormat="false" ht="15" hidden="false" customHeight="false" outlineLevel="0" collapsed="false">
      <c r="A67" s="0" t="s">
        <v>26</v>
      </c>
      <c r="B67" s="103" t="s">
        <v>190</v>
      </c>
      <c r="C67" s="103"/>
      <c r="D67" s="103"/>
      <c r="E67" s="103"/>
      <c r="F67" s="0" t="n">
        <f aca="false">C48*F60+C49*F61</f>
        <v>-6.01144415198441</v>
      </c>
      <c r="I67" s="0" t="s">
        <v>26</v>
      </c>
      <c r="J67" s="103" t="s">
        <v>191</v>
      </c>
      <c r="K67" s="103"/>
      <c r="L67" s="103"/>
      <c r="M67" s="103"/>
      <c r="N67" s="103"/>
      <c r="O67" s="0" t="n">
        <f aca="false">C48*O60+C49*O61</f>
        <v>-3.91403114832141</v>
      </c>
    </row>
    <row r="70" customFormat="false" ht="15" hidden="false" customHeight="false" outlineLevel="0" collapsed="false">
      <c r="A70" s="111" t="s">
        <v>192</v>
      </c>
      <c r="B70" s="111"/>
      <c r="C70" s="111"/>
      <c r="D70" s="111"/>
      <c r="E70" s="111"/>
      <c r="F70" s="111"/>
      <c r="I70" s="111" t="s">
        <v>193</v>
      </c>
      <c r="J70" s="111"/>
      <c r="K70" s="111"/>
      <c r="L70" s="111"/>
      <c r="M70" s="111"/>
      <c r="N70" s="111"/>
      <c r="O70" s="111"/>
    </row>
    <row r="71" customFormat="false" ht="15" hidden="false" customHeight="false" outlineLevel="0" collapsed="false">
      <c r="A71" s="29" t="s">
        <v>104</v>
      </c>
      <c r="B71" s="29" t="s">
        <v>180</v>
      </c>
      <c r="C71" s="102" t="s">
        <v>105</v>
      </c>
      <c r="D71" s="102"/>
      <c r="E71" s="102"/>
      <c r="F71" s="29" t="s">
        <v>194</v>
      </c>
      <c r="I71" s="29" t="s">
        <v>104</v>
      </c>
      <c r="J71" s="102" t="s">
        <v>180</v>
      </c>
      <c r="K71" s="102"/>
      <c r="L71" s="102" t="s">
        <v>105</v>
      </c>
      <c r="M71" s="102"/>
      <c r="N71" s="102"/>
      <c r="O71" s="29" t="s">
        <v>195</v>
      </c>
    </row>
    <row r="72" customFormat="false" ht="15" hidden="false" customHeight="false" outlineLevel="0" collapsed="false">
      <c r="A72" s="0" t="s">
        <v>23</v>
      </c>
      <c r="B72" s="0" t="s">
        <v>113</v>
      </c>
      <c r="C72" s="103" t="s">
        <v>196</v>
      </c>
      <c r="D72" s="103"/>
      <c r="E72" s="103"/>
      <c r="F72" s="0" t="n">
        <f aca="false">P10*F54</f>
        <v>0.0023477691303126</v>
      </c>
      <c r="I72" s="0" t="s">
        <v>23</v>
      </c>
      <c r="J72" s="103" t="s">
        <v>113</v>
      </c>
      <c r="K72" s="103"/>
      <c r="L72" s="103" t="s">
        <v>197</v>
      </c>
      <c r="M72" s="103"/>
      <c r="N72" s="103"/>
      <c r="O72" s="0" t="n">
        <f aca="false">P10*O54</f>
        <v>0.00382287003547889</v>
      </c>
    </row>
    <row r="73" customFormat="false" ht="15" hidden="false" customHeight="false" outlineLevel="0" collapsed="false">
      <c r="B73" s="0" t="s">
        <v>116</v>
      </c>
      <c r="C73" s="103" t="s">
        <v>198</v>
      </c>
      <c r="D73" s="103"/>
      <c r="E73" s="103"/>
      <c r="F73" s="0" t="n">
        <f aca="false">P11*F55</f>
        <v>-4.3365190424405</v>
      </c>
      <c r="J73" s="103" t="s">
        <v>116</v>
      </c>
      <c r="K73" s="103"/>
      <c r="L73" s="103" t="s">
        <v>199</v>
      </c>
      <c r="M73" s="103"/>
      <c r="N73" s="103"/>
      <c r="O73" s="0" t="n">
        <f aca="false">P11*O55</f>
        <v>-2.75901507969976</v>
      </c>
    </row>
    <row r="74" customFormat="false" ht="15" hidden="false" customHeight="false" outlineLevel="0" collapsed="false">
      <c r="A74" s="0" t="s">
        <v>24</v>
      </c>
      <c r="B74" s="0" t="s">
        <v>113</v>
      </c>
      <c r="C74" s="103" t="s">
        <v>200</v>
      </c>
      <c r="D74" s="103"/>
      <c r="E74" s="103"/>
      <c r="F74" s="0" t="n">
        <f aca="false">P12*F56</f>
        <v>0.00285817909337247</v>
      </c>
      <c r="I74" s="0" t="s">
        <v>24</v>
      </c>
      <c r="J74" s="103" t="s">
        <v>113</v>
      </c>
      <c r="K74" s="103"/>
      <c r="L74" s="103" t="s">
        <v>201</v>
      </c>
      <c r="M74" s="103"/>
      <c r="N74" s="103"/>
      <c r="O74" s="0" t="n">
        <f aca="false">P12*O56</f>
        <v>0.0042233527545031</v>
      </c>
    </row>
    <row r="75" customFormat="false" ht="15" hidden="false" customHeight="false" outlineLevel="0" collapsed="false">
      <c r="B75" s="0" t="s">
        <v>116</v>
      </c>
      <c r="C75" s="103" t="s">
        <v>202</v>
      </c>
      <c r="D75" s="103"/>
      <c r="E75" s="103"/>
      <c r="F75" s="0" t="n">
        <f aca="false">P13*F57</f>
        <v>-4.59246402195884</v>
      </c>
      <c r="J75" s="103" t="s">
        <v>116</v>
      </c>
      <c r="K75" s="103"/>
      <c r="L75" s="103" t="s">
        <v>203</v>
      </c>
      <c r="M75" s="103"/>
      <c r="N75" s="103"/>
      <c r="O75" s="0" t="n">
        <f aca="false">P13*O57</f>
        <v>-2.75712455193482</v>
      </c>
    </row>
    <row r="76" customFormat="false" ht="15" hidden="false" customHeight="false" outlineLevel="0" collapsed="false">
      <c r="A76" s="0" t="s">
        <v>25</v>
      </c>
      <c r="B76" s="0" t="s">
        <v>113</v>
      </c>
      <c r="C76" s="103" t="s">
        <v>204</v>
      </c>
      <c r="D76" s="103"/>
      <c r="E76" s="103"/>
      <c r="F76" s="0" t="n">
        <f aca="false">P14*F58</f>
        <v>0.00611846321255551</v>
      </c>
      <c r="I76" s="0" t="s">
        <v>25</v>
      </c>
      <c r="J76" s="103" t="s">
        <v>113</v>
      </c>
      <c r="K76" s="103"/>
      <c r="L76" s="103" t="s">
        <v>205</v>
      </c>
      <c r="M76" s="103"/>
      <c r="N76" s="103"/>
      <c r="O76" s="0" t="n">
        <f aca="false">P14*O58</f>
        <v>0.00902985707396424</v>
      </c>
    </row>
    <row r="77" customFormat="false" ht="15" hidden="false" customHeight="false" outlineLevel="0" collapsed="false">
      <c r="B77" s="0" t="s">
        <v>116</v>
      </c>
      <c r="C77" s="103" t="s">
        <v>206</v>
      </c>
      <c r="D77" s="103"/>
      <c r="E77" s="103"/>
      <c r="F77" s="0" t="n">
        <f aca="false">P15*F59</f>
        <v>-4.75426524875779</v>
      </c>
      <c r="J77" s="103" t="s">
        <v>116</v>
      </c>
      <c r="K77" s="103"/>
      <c r="L77" s="103" t="s">
        <v>207</v>
      </c>
      <c r="M77" s="103"/>
      <c r="N77" s="103"/>
      <c r="O77" s="0" t="n">
        <f aca="false">P15*O59</f>
        <v>-2.96725169662511</v>
      </c>
    </row>
    <row r="78" customFormat="false" ht="15" hidden="false" customHeight="false" outlineLevel="0" collapsed="false">
      <c r="A78" s="0" t="s">
        <v>26</v>
      </c>
      <c r="B78" s="0" t="s">
        <v>127</v>
      </c>
      <c r="C78" s="103" t="s">
        <v>208</v>
      </c>
      <c r="D78" s="103"/>
      <c r="E78" s="103"/>
      <c r="F78" s="0" t="n">
        <f aca="false">P16*F60</f>
        <v>0.0094440693097171</v>
      </c>
      <c r="I78" s="0" t="s">
        <v>26</v>
      </c>
      <c r="J78" s="103" t="s">
        <v>127</v>
      </c>
      <c r="K78" s="103"/>
      <c r="L78" s="103" t="s">
        <v>209</v>
      </c>
      <c r="M78" s="103"/>
      <c r="N78" s="103"/>
      <c r="O78" s="0" t="n">
        <f aca="false">P16*O60</f>
        <v>0.0121988715019427</v>
      </c>
    </row>
    <row r="79" customFormat="false" ht="15" hidden="false" customHeight="false" outlineLevel="0" collapsed="false">
      <c r="B79" s="0" t="s">
        <v>116</v>
      </c>
      <c r="C79" s="103" t="s">
        <v>210</v>
      </c>
      <c r="D79" s="103"/>
      <c r="E79" s="103"/>
      <c r="F79" s="0" t="n">
        <f aca="false">P17*F61</f>
        <v>-6.29434372499405</v>
      </c>
      <c r="J79" s="103" t="s">
        <v>116</v>
      </c>
      <c r="K79" s="103"/>
      <c r="L79" s="103" t="s">
        <v>211</v>
      </c>
      <c r="M79" s="103"/>
      <c r="N79" s="103"/>
      <c r="O79" s="0" t="n">
        <f aca="false">P17*O61</f>
        <v>-4.10427598217469</v>
      </c>
    </row>
    <row r="80" customFormat="false" ht="15" hidden="false" customHeight="false" outlineLevel="0" collapsed="false">
      <c r="A80" s="111" t="s">
        <v>212</v>
      </c>
      <c r="B80" s="111"/>
      <c r="C80" s="111"/>
      <c r="D80" s="111"/>
      <c r="E80" s="111"/>
      <c r="F80" s="111"/>
      <c r="I80" s="111" t="s">
        <v>213</v>
      </c>
      <c r="J80" s="111"/>
      <c r="K80" s="111"/>
      <c r="L80" s="111"/>
      <c r="M80" s="111"/>
      <c r="N80" s="111"/>
      <c r="O80" s="111"/>
    </row>
    <row r="81" customFormat="false" ht="15" hidden="false" customHeight="false" outlineLevel="0" collapsed="false">
      <c r="A81" s="29" t="s">
        <v>104</v>
      </c>
      <c r="B81" s="102" t="s">
        <v>105</v>
      </c>
      <c r="C81" s="102"/>
      <c r="D81" s="102"/>
      <c r="E81" s="102"/>
      <c r="F81" s="29" t="s">
        <v>194</v>
      </c>
      <c r="I81" s="29" t="s">
        <v>104</v>
      </c>
      <c r="J81" s="102" t="s">
        <v>105</v>
      </c>
      <c r="K81" s="102"/>
      <c r="L81" s="102"/>
      <c r="M81" s="102"/>
      <c r="N81" s="102"/>
      <c r="O81" s="29" t="s">
        <v>195</v>
      </c>
    </row>
    <row r="82" customFormat="false" ht="15" hidden="false" customHeight="false" outlineLevel="0" collapsed="false">
      <c r="A82" s="0" t="s">
        <v>23</v>
      </c>
      <c r="B82" s="103" t="s">
        <v>214</v>
      </c>
      <c r="C82" s="103"/>
      <c r="D82" s="103"/>
      <c r="E82" s="103"/>
      <c r="F82" s="0" t="n">
        <f aca="false">Q19*F64</f>
        <v>-4.33417127331018</v>
      </c>
      <c r="I82" s="0" t="s">
        <v>23</v>
      </c>
      <c r="J82" s="103" t="s">
        <v>215</v>
      </c>
      <c r="K82" s="103"/>
      <c r="L82" s="103"/>
      <c r="M82" s="103"/>
      <c r="N82" s="103"/>
      <c r="O82" s="0" t="n">
        <f aca="false">Q19*O64</f>
        <v>-2.75519220966428</v>
      </c>
    </row>
    <row r="83" customFormat="false" ht="15" hidden="false" customHeight="false" outlineLevel="0" collapsed="false">
      <c r="A83" s="0" t="s">
        <v>24</v>
      </c>
      <c r="B83" s="103" t="s">
        <v>216</v>
      </c>
      <c r="C83" s="103"/>
      <c r="D83" s="103"/>
      <c r="E83" s="103"/>
      <c r="F83" s="0" t="n">
        <f aca="false">Q20*F65</f>
        <v>-4.58960584286547</v>
      </c>
      <c r="I83" s="0" t="s">
        <v>24</v>
      </c>
      <c r="J83" s="103" t="s">
        <v>217</v>
      </c>
      <c r="K83" s="103"/>
      <c r="L83" s="103"/>
      <c r="M83" s="103"/>
      <c r="N83" s="103"/>
      <c r="O83" s="0" t="n">
        <f aca="false">Q20*O65</f>
        <v>-2.75290119918032</v>
      </c>
    </row>
    <row r="84" customFormat="false" ht="15" hidden="false" customHeight="false" outlineLevel="0" collapsed="false">
      <c r="A84" s="0" t="s">
        <v>25</v>
      </c>
      <c r="B84" s="103" t="s">
        <v>218</v>
      </c>
      <c r="C84" s="103"/>
      <c r="D84" s="103"/>
      <c r="E84" s="103"/>
      <c r="F84" s="0" t="n">
        <f aca="false">Q21*F66</f>
        <v>-4.74814678554524</v>
      </c>
      <c r="I84" s="0" t="s">
        <v>25</v>
      </c>
      <c r="J84" s="103" t="s">
        <v>219</v>
      </c>
      <c r="K84" s="103"/>
      <c r="L84" s="103"/>
      <c r="M84" s="103"/>
      <c r="N84" s="103"/>
      <c r="O84" s="0" t="n">
        <f aca="false">Q21*O66</f>
        <v>-2.95822183955115</v>
      </c>
    </row>
    <row r="85" customFormat="false" ht="15" hidden="false" customHeight="false" outlineLevel="0" collapsed="false">
      <c r="A85" s="0" t="s">
        <v>26</v>
      </c>
      <c r="B85" s="103" t="s">
        <v>220</v>
      </c>
      <c r="C85" s="103"/>
      <c r="D85" s="103"/>
      <c r="E85" s="103"/>
      <c r="F85" s="0" t="n">
        <f aca="false">Q22*F67</f>
        <v>-6.28489965568434</v>
      </c>
      <c r="I85" s="0" t="s">
        <v>26</v>
      </c>
      <c r="J85" s="103" t="s">
        <v>221</v>
      </c>
      <c r="K85" s="103"/>
      <c r="L85" s="103"/>
      <c r="M85" s="103"/>
      <c r="N85" s="103"/>
      <c r="O85" s="0" t="n">
        <f aca="false">Q22*O67</f>
        <v>-4.09207711067275</v>
      </c>
    </row>
    <row r="88" customFormat="false" ht="15" hidden="false" customHeight="false" outlineLevel="0" collapsed="false">
      <c r="A88" s="110" t="s">
        <v>222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</row>
    <row r="89" customFormat="false" ht="15" hidden="false" customHeight="false" outlineLevel="0" collapsed="false">
      <c r="A89" s="111" t="s">
        <v>178</v>
      </c>
      <c r="B89" s="111"/>
      <c r="C89" s="111"/>
      <c r="D89" s="111"/>
      <c r="E89" s="111"/>
      <c r="F89" s="111"/>
      <c r="I89" s="111" t="s">
        <v>179</v>
      </c>
      <c r="J89" s="111"/>
      <c r="K89" s="111"/>
      <c r="L89" s="111"/>
      <c r="M89" s="111"/>
      <c r="N89" s="111"/>
      <c r="O89" s="111"/>
      <c r="R89" s="106" t="s">
        <v>223</v>
      </c>
      <c r="S89" s="106"/>
      <c r="T89" s="106"/>
      <c r="U89" s="106"/>
      <c r="V89" s="106"/>
    </row>
    <row r="90" customFormat="false" ht="15" hidden="false" customHeight="false" outlineLevel="0" collapsed="false">
      <c r="A90" s="29" t="s">
        <v>104</v>
      </c>
      <c r="B90" s="29" t="s">
        <v>180</v>
      </c>
      <c r="C90" s="102" t="s">
        <v>105</v>
      </c>
      <c r="D90" s="102"/>
      <c r="E90" s="102"/>
      <c r="F90" s="29" t="s">
        <v>181</v>
      </c>
      <c r="I90" s="29" t="s">
        <v>104</v>
      </c>
      <c r="J90" s="102" t="s">
        <v>180</v>
      </c>
      <c r="K90" s="102"/>
      <c r="L90" s="102" t="s">
        <v>105</v>
      </c>
      <c r="M90" s="102"/>
      <c r="N90" s="102"/>
      <c r="O90" s="29" t="s">
        <v>182</v>
      </c>
      <c r="R90" s="29" t="s">
        <v>104</v>
      </c>
      <c r="S90" s="102" t="s">
        <v>105</v>
      </c>
      <c r="T90" s="102"/>
      <c r="U90" s="29" t="s">
        <v>70</v>
      </c>
      <c r="V90" s="29" t="s">
        <v>150</v>
      </c>
    </row>
    <row r="91" customFormat="false" ht="15" hidden="false" customHeight="false" outlineLevel="0" collapsed="false">
      <c r="A91" s="0" t="s">
        <v>23</v>
      </c>
      <c r="B91" s="0" t="s">
        <v>113</v>
      </c>
      <c r="C91" s="103" t="s">
        <v>224</v>
      </c>
      <c r="D91" s="103"/>
      <c r="E91" s="103"/>
      <c r="F91" s="0" t="n">
        <f aca="false">(U98*U91)/(1-U105)</f>
        <v>0.0296251169064268</v>
      </c>
      <c r="I91" s="0" t="s">
        <v>23</v>
      </c>
      <c r="J91" s="103" t="s">
        <v>113</v>
      </c>
      <c r="K91" s="103"/>
      <c r="L91" s="103" t="s">
        <v>184</v>
      </c>
      <c r="M91" s="103"/>
      <c r="N91" s="103"/>
      <c r="O91" s="0" t="n">
        <f aca="false">F91+U91</f>
        <v>0.0675471948285048</v>
      </c>
      <c r="R91" s="0" t="s">
        <v>23</v>
      </c>
      <c r="S91" s="103" t="s">
        <v>225</v>
      </c>
      <c r="T91" s="103"/>
      <c r="U91" s="0" t="n">
        <f aca="false">1/(Arrivi!H31+Arrivi!H30)</f>
        <v>0.0379220779220779</v>
      </c>
      <c r="V91" s="0" t="n">
        <f aca="false">1/U91</f>
        <v>26.3698630136986</v>
      </c>
    </row>
    <row r="92" customFormat="false" ht="15" hidden="false" customHeight="false" outlineLevel="0" collapsed="false">
      <c r="B92" s="0" t="s">
        <v>116</v>
      </c>
      <c r="C92" s="103" t="s">
        <v>226</v>
      </c>
      <c r="D92" s="103"/>
      <c r="E92" s="103"/>
      <c r="F92" s="0" t="n">
        <f aca="false">(U98*U91)/((1-U105)*(1-U98))</f>
        <v>0.135052841370686</v>
      </c>
      <c r="J92" s="103" t="s">
        <v>116</v>
      </c>
      <c r="K92" s="103"/>
      <c r="L92" s="103" t="s">
        <v>186</v>
      </c>
      <c r="M92" s="103"/>
      <c r="N92" s="103"/>
      <c r="O92" s="0" t="n">
        <f aca="false">F92+U91</f>
        <v>0.172974919292764</v>
      </c>
      <c r="R92" s="0" t="s">
        <v>24</v>
      </c>
      <c r="S92" s="103" t="s">
        <v>227</v>
      </c>
      <c r="T92" s="103"/>
      <c r="U92" s="0" t="n">
        <f aca="false">1/(Arrivi!H33+Arrivi!H34)</f>
        <v>0.0606715425531915</v>
      </c>
      <c r="V92" s="0" t="n">
        <f aca="false">1/U92</f>
        <v>16.4821917808219</v>
      </c>
    </row>
    <row r="93" customFormat="false" ht="15" hidden="false" customHeight="false" outlineLevel="0" collapsed="false">
      <c r="A93" s="0" t="s">
        <v>24</v>
      </c>
      <c r="B93" s="0" t="s">
        <v>113</v>
      </c>
      <c r="C93" s="103" t="s">
        <v>224</v>
      </c>
      <c r="D93" s="103"/>
      <c r="E93" s="103"/>
      <c r="F93" s="0" t="n">
        <f aca="false">(U99*U92)/(1-U107)</f>
        <v>0.0480353126967924</v>
      </c>
      <c r="I93" s="0" t="s">
        <v>24</v>
      </c>
      <c r="J93" s="103" t="s">
        <v>113</v>
      </c>
      <c r="K93" s="103"/>
      <c r="L93" s="103" t="s">
        <v>184</v>
      </c>
      <c r="M93" s="103"/>
      <c r="N93" s="103"/>
      <c r="O93" s="0" t="n">
        <f aca="false">F93+U92</f>
        <v>0.108706855249984</v>
      </c>
      <c r="R93" s="0" t="s">
        <v>25</v>
      </c>
      <c r="S93" s="103" t="s">
        <v>228</v>
      </c>
      <c r="T93" s="103"/>
      <c r="U93" s="0" t="n">
        <f aca="false">1/(Arrivi!H36+Arrivi!H37)</f>
        <v>0.194666666666667</v>
      </c>
      <c r="V93" s="0" t="n">
        <f aca="false">1/U93</f>
        <v>5.13698630136986</v>
      </c>
    </row>
    <row r="94" customFormat="false" ht="15" hidden="false" customHeight="false" outlineLevel="0" collapsed="false">
      <c r="B94" s="0" t="s">
        <v>116</v>
      </c>
      <c r="C94" s="103" t="s">
        <v>226</v>
      </c>
      <c r="D94" s="103"/>
      <c r="E94" s="103"/>
      <c r="F94" s="0" t="n">
        <f aca="false">(U99*U92)/((1-U107)*(1-U99))</f>
        <v>0.230122072848574</v>
      </c>
      <c r="J94" s="103" t="s">
        <v>116</v>
      </c>
      <c r="K94" s="103"/>
      <c r="L94" s="103" t="s">
        <v>186</v>
      </c>
      <c r="M94" s="103"/>
      <c r="N94" s="103"/>
      <c r="O94" s="0" t="n">
        <f aca="false">F94+U92</f>
        <v>0.290793615401765</v>
      </c>
      <c r="R94" s="0" t="s">
        <v>26</v>
      </c>
      <c r="S94" s="103" t="s">
        <v>229</v>
      </c>
      <c r="T94" s="103"/>
      <c r="U94" s="0" t="n">
        <f aca="false">1/(Arrivi!H39+Arrivi!H40)</f>
        <v>0.727091633466135</v>
      </c>
      <c r="V94" s="0" t="n">
        <f aca="false">1/U94</f>
        <v>1.37534246575342</v>
      </c>
    </row>
    <row r="95" customFormat="false" ht="15" hidden="false" customHeight="false" outlineLevel="0" collapsed="false">
      <c r="A95" s="0" t="s">
        <v>25</v>
      </c>
      <c r="B95" s="0" t="s">
        <v>113</v>
      </c>
      <c r="C95" s="103" t="s">
        <v>224</v>
      </c>
      <c r="D95" s="103"/>
      <c r="E95" s="103"/>
      <c r="F95" s="0" t="n">
        <f aca="false">(U100*U93)/(1-U109)</f>
        <v>0.146448864952004</v>
      </c>
      <c r="I95" s="0" t="s">
        <v>25</v>
      </c>
      <c r="J95" s="103" t="s">
        <v>113</v>
      </c>
      <c r="K95" s="103"/>
      <c r="L95" s="103" t="s">
        <v>184</v>
      </c>
      <c r="M95" s="103"/>
      <c r="N95" s="103"/>
      <c r="O95" s="0" t="n">
        <f aca="false">F95+U93</f>
        <v>0.341115531618671</v>
      </c>
    </row>
    <row r="96" customFormat="false" ht="15" hidden="false" customHeight="false" outlineLevel="0" collapsed="false">
      <c r="B96" s="0" t="s">
        <v>116</v>
      </c>
      <c r="C96" s="103" t="s">
        <v>226</v>
      </c>
      <c r="D96" s="103"/>
      <c r="E96" s="103"/>
      <c r="F96" s="0" t="n">
        <f aca="false">(U100*U93)/((1-U109)*(1-U100))</f>
        <v>0.589062096821673</v>
      </c>
      <c r="J96" s="103" t="s">
        <v>116</v>
      </c>
      <c r="K96" s="103"/>
      <c r="L96" s="103" t="s">
        <v>186</v>
      </c>
      <c r="M96" s="103"/>
      <c r="N96" s="103"/>
      <c r="O96" s="0" t="n">
        <f aca="false">F96+U93</f>
        <v>0.78372876348834</v>
      </c>
    </row>
    <row r="97" customFormat="false" ht="15" hidden="false" customHeight="false" outlineLevel="0" collapsed="false">
      <c r="A97" s="0" t="s">
        <v>26</v>
      </c>
      <c r="B97" s="0" t="s">
        <v>127</v>
      </c>
      <c r="C97" s="103" t="s">
        <v>224</v>
      </c>
      <c r="D97" s="103"/>
      <c r="E97" s="103"/>
      <c r="F97" s="0" t="n">
        <f aca="false">(U101*U94)/(1-U111)</f>
        <v>0.553238974995229</v>
      </c>
      <c r="I97" s="0" t="s">
        <v>26</v>
      </c>
      <c r="J97" s="103" t="s">
        <v>127</v>
      </c>
      <c r="K97" s="103"/>
      <c r="L97" s="103" t="s">
        <v>184</v>
      </c>
      <c r="M97" s="103"/>
      <c r="N97" s="103"/>
      <c r="O97" s="0" t="n">
        <f aca="false">F97+U93</f>
        <v>0.747905641661895</v>
      </c>
      <c r="R97" s="107" t="s">
        <v>164</v>
      </c>
      <c r="S97" s="107"/>
      <c r="T97" s="107"/>
      <c r="U97" s="107"/>
    </row>
    <row r="98" customFormat="false" ht="15" hidden="false" customHeight="false" outlineLevel="0" collapsed="false">
      <c r="B98" s="0" t="s">
        <v>116</v>
      </c>
      <c r="C98" s="103" t="s">
        <v>226</v>
      </c>
      <c r="D98" s="103"/>
      <c r="E98" s="103"/>
      <c r="F98" s="0" t="n">
        <f aca="false">(U101*U94)/((1-U111)*(1-U101))</f>
        <v>2.30676190583663</v>
      </c>
      <c r="J98" s="103" t="s">
        <v>116</v>
      </c>
      <c r="K98" s="103"/>
      <c r="L98" s="103" t="s">
        <v>186</v>
      </c>
      <c r="M98" s="103"/>
      <c r="N98" s="103"/>
      <c r="O98" s="0" t="n">
        <f aca="false">F98+U94</f>
        <v>3.03385353930276</v>
      </c>
      <c r="R98" s="0" t="s">
        <v>23</v>
      </c>
      <c r="S98" s="109" t="s">
        <v>166</v>
      </c>
      <c r="T98" s="109"/>
      <c r="U98" s="0" t="n">
        <f aca="false">Q19*U91</f>
        <v>0.780640550722562</v>
      </c>
    </row>
    <row r="99" customFormat="false" ht="15" hidden="false" customHeight="false" outlineLevel="0" collapsed="false">
      <c r="A99" s="111" t="s">
        <v>188</v>
      </c>
      <c r="B99" s="111"/>
      <c r="C99" s="111"/>
      <c r="D99" s="111"/>
      <c r="E99" s="111"/>
      <c r="F99" s="111"/>
      <c r="I99" s="111" t="s">
        <v>189</v>
      </c>
      <c r="J99" s="111"/>
      <c r="K99" s="111"/>
      <c r="L99" s="111"/>
      <c r="M99" s="111"/>
      <c r="N99" s="111"/>
      <c r="O99" s="111"/>
      <c r="R99" s="0" t="s">
        <v>24</v>
      </c>
      <c r="S99" s="109" t="s">
        <v>168</v>
      </c>
      <c r="T99" s="109"/>
      <c r="U99" s="0" t="n">
        <f aca="false">Q20*U92</f>
        <v>0.791261602582553</v>
      </c>
    </row>
    <row r="100" customFormat="false" ht="15" hidden="false" customHeight="false" outlineLevel="0" collapsed="false">
      <c r="A100" s="29" t="s">
        <v>104</v>
      </c>
      <c r="B100" s="102" t="s">
        <v>105</v>
      </c>
      <c r="C100" s="102"/>
      <c r="D100" s="102"/>
      <c r="E100" s="102"/>
      <c r="F100" s="29" t="s">
        <v>181</v>
      </c>
      <c r="I100" s="29" t="s">
        <v>104</v>
      </c>
      <c r="J100" s="102" t="s">
        <v>105</v>
      </c>
      <c r="K100" s="102"/>
      <c r="L100" s="102"/>
      <c r="M100" s="102"/>
      <c r="N100" s="102"/>
      <c r="O100" s="29" t="s">
        <v>182</v>
      </c>
      <c r="R100" s="0" t="s">
        <v>25</v>
      </c>
      <c r="S100" s="109" t="s">
        <v>169</v>
      </c>
      <c r="T100" s="109"/>
      <c r="U100" s="0" t="n">
        <f aca="false">Q21*U93</f>
        <v>0.751386372095268</v>
      </c>
    </row>
    <row r="101" customFormat="false" ht="15" hidden="false" customHeight="false" outlineLevel="0" collapsed="false">
      <c r="A101" s="0" t="s">
        <v>23</v>
      </c>
      <c r="B101" s="103" t="s">
        <v>190</v>
      </c>
      <c r="C101" s="103"/>
      <c r="D101" s="103"/>
      <c r="E101" s="103"/>
      <c r="F101" s="0" t="n">
        <f aca="false">T105*F91+T106*F92</f>
        <v>0.134954349544311</v>
      </c>
      <c r="I101" s="0" t="s">
        <v>23</v>
      </c>
      <c r="J101" s="103" t="s">
        <v>191</v>
      </c>
      <c r="K101" s="103"/>
      <c r="L101" s="103"/>
      <c r="M101" s="103"/>
      <c r="N101" s="103"/>
      <c r="O101" s="0" t="n">
        <f aca="false">T105*O91+T106*O92</f>
        <v>0.172876427466389</v>
      </c>
      <c r="R101" s="0" t="s">
        <v>26</v>
      </c>
      <c r="S101" s="109" t="s">
        <v>170</v>
      </c>
      <c r="T101" s="109"/>
      <c r="U101" s="0" t="n">
        <f aca="false">Q22*U94</f>
        <v>0.760166416137093</v>
      </c>
    </row>
    <row r="102" customFormat="false" ht="15" hidden="false" customHeight="false" outlineLevel="0" collapsed="false">
      <c r="A102" s="0" t="s">
        <v>24</v>
      </c>
      <c r="B102" s="103" t="s">
        <v>190</v>
      </c>
      <c r="C102" s="103"/>
      <c r="D102" s="103"/>
      <c r="E102" s="103"/>
      <c r="F102" s="0" t="n">
        <f aca="false">T107*F93+T108*F94</f>
        <v>0.22998673260764</v>
      </c>
      <c r="I102" s="0" t="s">
        <v>24</v>
      </c>
      <c r="J102" s="103" t="s">
        <v>191</v>
      </c>
      <c r="K102" s="103"/>
      <c r="L102" s="103"/>
      <c r="M102" s="103"/>
      <c r="N102" s="103"/>
      <c r="O102" s="0" t="n">
        <f aca="false">T107*O93+T108*O94</f>
        <v>0.290658275160832</v>
      </c>
    </row>
    <row r="103" customFormat="false" ht="15" hidden="false" customHeight="false" outlineLevel="0" collapsed="false">
      <c r="A103" s="0" t="s">
        <v>25</v>
      </c>
      <c r="B103" s="103" t="s">
        <v>190</v>
      </c>
      <c r="C103" s="103"/>
      <c r="D103" s="103"/>
      <c r="E103" s="103"/>
      <c r="F103" s="0" t="n">
        <f aca="false">T109*F95+T110*F96</f>
        <v>0.588342166385971</v>
      </c>
      <c r="I103" s="0" t="s">
        <v>25</v>
      </c>
      <c r="J103" s="103" t="s">
        <v>191</v>
      </c>
      <c r="K103" s="103"/>
      <c r="L103" s="103"/>
      <c r="M103" s="103"/>
      <c r="N103" s="103"/>
      <c r="O103" s="0" t="n">
        <f aca="false">T109*O95+T110*O96</f>
        <v>0.783008833052638</v>
      </c>
      <c r="R103" s="107" t="s">
        <v>171</v>
      </c>
      <c r="S103" s="107"/>
      <c r="T103" s="107"/>
      <c r="U103" s="107"/>
    </row>
    <row r="104" customFormat="false" ht="15" hidden="false" customHeight="false" outlineLevel="0" collapsed="false">
      <c r="A104" s="0" t="s">
        <v>26</v>
      </c>
      <c r="B104" s="103" t="s">
        <v>190</v>
      </c>
      <c r="C104" s="103"/>
      <c r="D104" s="103"/>
      <c r="E104" s="103"/>
      <c r="F104" s="0" t="n">
        <f aca="false">T111*F97+T112*F98</f>
        <v>2.3045589875818</v>
      </c>
      <c r="I104" s="0" t="s">
        <v>26</v>
      </c>
      <c r="J104" s="103" t="s">
        <v>191</v>
      </c>
      <c r="K104" s="103"/>
      <c r="L104" s="103"/>
      <c r="M104" s="103"/>
      <c r="N104" s="103"/>
      <c r="O104" s="0" t="n">
        <f aca="false">T111*O97+T112*O98</f>
        <v>3.03098174546151</v>
      </c>
      <c r="R104" s="29" t="s">
        <v>104</v>
      </c>
      <c r="S104" s="29" t="s">
        <v>172</v>
      </c>
      <c r="T104" s="29" t="s">
        <v>173</v>
      </c>
      <c r="U104" s="29" t="s">
        <v>174</v>
      </c>
    </row>
    <row r="105" customFormat="false" ht="15" hidden="false" customHeight="false" outlineLevel="0" collapsed="false">
      <c r="R105" s="0" t="s">
        <v>23</v>
      </c>
      <c r="S105" s="0" t="s">
        <v>175</v>
      </c>
      <c r="T105" s="114" t="n">
        <f aca="false">P10/Q19</f>
        <v>0.000934211820237978</v>
      </c>
      <c r="U105" s="0" t="n">
        <f aca="false">T105*U98</f>
        <v>0.000729283629842103</v>
      </c>
    </row>
    <row r="106" customFormat="false" ht="15" hidden="false" customHeight="false" outlineLevel="0" collapsed="false">
      <c r="S106" s="0" t="s">
        <v>176</v>
      </c>
      <c r="T106" s="114" t="n">
        <f aca="false">P11/Q19</f>
        <v>0.999065788179762</v>
      </c>
      <c r="U106" s="0" t="n">
        <f aca="false">T106*U98</f>
        <v>0.77991126709272</v>
      </c>
    </row>
    <row r="107" customFormat="false" ht="15" hidden="false" customHeight="false" outlineLevel="0" collapsed="false">
      <c r="A107" s="111" t="s">
        <v>192</v>
      </c>
      <c r="B107" s="111"/>
      <c r="C107" s="111"/>
      <c r="D107" s="111"/>
      <c r="E107" s="111"/>
      <c r="F107" s="111"/>
      <c r="I107" s="111" t="s">
        <v>193</v>
      </c>
      <c r="J107" s="111"/>
      <c r="K107" s="111"/>
      <c r="L107" s="111"/>
      <c r="M107" s="111"/>
      <c r="N107" s="111"/>
      <c r="O107" s="111"/>
      <c r="R107" s="0" t="s">
        <v>24</v>
      </c>
      <c r="S107" s="0" t="s">
        <v>175</v>
      </c>
      <c r="T107" s="114" t="n">
        <f aca="false">P12/Q20</f>
        <v>0.000743273375947674</v>
      </c>
      <c r="U107" s="0" t="n">
        <f aca="false">T107*U99</f>
        <v>0.0005881236826093</v>
      </c>
    </row>
    <row r="108" customFormat="false" ht="15" hidden="false" customHeight="false" outlineLevel="0" collapsed="false">
      <c r="A108" s="29" t="s">
        <v>104</v>
      </c>
      <c r="B108" s="29" t="s">
        <v>180</v>
      </c>
      <c r="C108" s="102" t="s">
        <v>105</v>
      </c>
      <c r="D108" s="102"/>
      <c r="E108" s="102"/>
      <c r="F108" s="29" t="s">
        <v>194</v>
      </c>
      <c r="I108" s="29" t="s">
        <v>104</v>
      </c>
      <c r="J108" s="102" t="s">
        <v>180</v>
      </c>
      <c r="K108" s="102"/>
      <c r="L108" s="102" t="s">
        <v>105</v>
      </c>
      <c r="M108" s="102"/>
      <c r="N108" s="102"/>
      <c r="O108" s="29" t="s">
        <v>195</v>
      </c>
      <c r="S108" s="0" t="s">
        <v>176</v>
      </c>
      <c r="T108" s="114" t="n">
        <f aca="false">P13/Q20</f>
        <v>0.999256726624052</v>
      </c>
      <c r="U108" s="0" t="n">
        <f aca="false">T108*U99</f>
        <v>0.790673478899943</v>
      </c>
    </row>
    <row r="109" customFormat="false" ht="15" hidden="false" customHeight="false" outlineLevel="0" collapsed="false">
      <c r="A109" s="0" t="s">
        <v>23</v>
      </c>
      <c r="B109" s="0" t="s">
        <v>113</v>
      </c>
      <c r="C109" s="103" t="s">
        <v>196</v>
      </c>
      <c r="D109" s="103"/>
      <c r="E109" s="103"/>
      <c r="F109" s="35" t="n">
        <f aca="false">P10*F91</f>
        <v>0.00056972386472096</v>
      </c>
      <c r="I109" s="0" t="s">
        <v>23</v>
      </c>
      <c r="J109" s="103" t="s">
        <v>113</v>
      </c>
      <c r="K109" s="103"/>
      <c r="L109" s="103" t="s">
        <v>197</v>
      </c>
      <c r="M109" s="103"/>
      <c r="N109" s="103"/>
      <c r="O109" s="0" t="n">
        <f aca="false">P10*O91</f>
        <v>0.00129900749456306</v>
      </c>
      <c r="R109" s="0" t="s">
        <v>25</v>
      </c>
      <c r="S109" s="0" t="s">
        <v>175</v>
      </c>
      <c r="T109" s="114" t="n">
        <f aca="false">P14/Q21</f>
        <v>0.00162654521795706</v>
      </c>
      <c r="U109" s="0" t="n">
        <f aca="false">T109*U100</f>
        <v>0.00122216391036966</v>
      </c>
    </row>
    <row r="110" customFormat="false" ht="15" hidden="false" customHeight="false" outlineLevel="0" collapsed="false">
      <c r="B110" s="0" t="s">
        <v>116</v>
      </c>
      <c r="C110" s="103" t="s">
        <v>198</v>
      </c>
      <c r="D110" s="103"/>
      <c r="E110" s="103"/>
      <c r="F110" s="35" t="n">
        <f aca="false">P11*F92</f>
        <v>2.77751743599899</v>
      </c>
      <c r="J110" s="103" t="s">
        <v>116</v>
      </c>
      <c r="K110" s="103"/>
      <c r="L110" s="103" t="s">
        <v>199</v>
      </c>
      <c r="M110" s="103"/>
      <c r="N110" s="103"/>
      <c r="O110" s="0" t="n">
        <f aca="false">P11*O92</f>
        <v>3.55742870309171</v>
      </c>
      <c r="S110" s="0" t="s">
        <v>176</v>
      </c>
      <c r="T110" s="114" t="n">
        <f aca="false">P15/Q21</f>
        <v>0.998373454782043</v>
      </c>
      <c r="U110" s="0" t="n">
        <f aca="false">T110*U100</f>
        <v>0.750164208184899</v>
      </c>
    </row>
    <row r="111" customFormat="false" ht="15" hidden="false" customHeight="false" outlineLevel="0" collapsed="false">
      <c r="A111" s="0" t="s">
        <v>24</v>
      </c>
      <c r="B111" s="0" t="s">
        <v>113</v>
      </c>
      <c r="C111" s="103" t="s">
        <v>200</v>
      </c>
      <c r="D111" s="103"/>
      <c r="E111" s="103"/>
      <c r="F111" s="35" t="n">
        <f aca="false">P12*F93</f>
        <v>0.000465633537729143</v>
      </c>
      <c r="I111" s="0" t="s">
        <v>24</v>
      </c>
      <c r="J111" s="103" t="s">
        <v>113</v>
      </c>
      <c r="K111" s="103"/>
      <c r="L111" s="103" t="s">
        <v>201</v>
      </c>
      <c r="M111" s="103"/>
      <c r="N111" s="103"/>
      <c r="O111" s="0" t="n">
        <f aca="false">P12*O93</f>
        <v>0.00105375722033844</v>
      </c>
      <c r="R111" s="0" t="s">
        <v>26</v>
      </c>
      <c r="S111" s="0" t="s">
        <v>175</v>
      </c>
      <c r="T111" s="114" t="n">
        <f aca="false">P16/Q22</f>
        <v>0.00125628140703518</v>
      </c>
      <c r="U111" s="0" t="n">
        <f aca="false">T111*U101</f>
        <v>0.000954982934845594</v>
      </c>
    </row>
    <row r="112" customFormat="false" ht="15" hidden="false" customHeight="false" outlineLevel="0" collapsed="false">
      <c r="B112" s="0" t="s">
        <v>116</v>
      </c>
      <c r="C112" s="103" t="s">
        <v>202</v>
      </c>
      <c r="D112" s="103"/>
      <c r="E112" s="103"/>
      <c r="F112" s="35" t="n">
        <f aca="false">P13*F94</f>
        <v>2.99895819776346</v>
      </c>
      <c r="J112" s="103" t="s">
        <v>116</v>
      </c>
      <c r="K112" s="103"/>
      <c r="L112" s="103" t="s">
        <v>203</v>
      </c>
      <c r="M112" s="103"/>
      <c r="N112" s="103"/>
      <c r="O112" s="0" t="n">
        <f aca="false">P13*O94</f>
        <v>3.7896316766634</v>
      </c>
      <c r="S112" s="0" t="s">
        <v>176</v>
      </c>
      <c r="T112" s="114" t="n">
        <f aca="false">P17/Q22</f>
        <v>0.998743718592965</v>
      </c>
      <c r="U112" s="0" t="n">
        <f aca="false">T112*U101</f>
        <v>0.759211433202247</v>
      </c>
    </row>
    <row r="113" customFormat="false" ht="15" hidden="false" customHeight="false" outlineLevel="0" collapsed="false">
      <c r="A113" s="0" t="s">
        <v>25</v>
      </c>
      <c r="B113" s="0" t="s">
        <v>113</v>
      </c>
      <c r="C113" s="103" t="s">
        <v>204</v>
      </c>
      <c r="D113" s="103"/>
      <c r="E113" s="103"/>
      <c r="F113" s="35" t="n">
        <f aca="false">P14*F95</f>
        <v>0.000919441014343872</v>
      </c>
      <c r="I113" s="0" t="s">
        <v>25</v>
      </c>
      <c r="J113" s="103" t="s">
        <v>113</v>
      </c>
      <c r="K113" s="103"/>
      <c r="L113" s="103" t="s">
        <v>205</v>
      </c>
      <c r="M113" s="103"/>
      <c r="N113" s="103"/>
      <c r="O113" s="0" t="n">
        <f aca="false">P14*O95</f>
        <v>0.00214160492471353</v>
      </c>
    </row>
    <row r="114" customFormat="false" ht="15" hidden="false" customHeight="false" outlineLevel="0" collapsed="false">
      <c r="B114" s="0" t="s">
        <v>116</v>
      </c>
      <c r="C114" s="103" t="s">
        <v>206</v>
      </c>
      <c r="D114" s="103"/>
      <c r="E114" s="103"/>
      <c r="F114" s="35" t="n">
        <f aca="false">P15*F96</f>
        <v>2.26999983613339</v>
      </c>
      <c r="J114" s="103" t="s">
        <v>116</v>
      </c>
      <c r="K114" s="103"/>
      <c r="L114" s="103" t="s">
        <v>207</v>
      </c>
      <c r="M114" s="103"/>
      <c r="N114" s="103"/>
      <c r="O114" s="0" t="n">
        <f aca="false">P15*O96</f>
        <v>3.02016404431829</v>
      </c>
    </row>
    <row r="115" customFormat="false" ht="15" hidden="false" customHeight="false" outlineLevel="0" collapsed="false">
      <c r="A115" s="0" t="s">
        <v>26</v>
      </c>
      <c r="B115" s="0" t="s">
        <v>127</v>
      </c>
      <c r="C115" s="103" t="s">
        <v>208</v>
      </c>
      <c r="D115" s="103"/>
      <c r="E115" s="103"/>
      <c r="F115" s="35" t="n">
        <f aca="false">P16*F97</f>
        <v>0.00072663988374241</v>
      </c>
      <c r="I115" s="0" t="s">
        <v>26</v>
      </c>
      <c r="J115" s="103" t="s">
        <v>127</v>
      </c>
      <c r="K115" s="103"/>
      <c r="L115" s="103" t="s">
        <v>209</v>
      </c>
      <c r="M115" s="103"/>
      <c r="N115" s="103"/>
      <c r="O115" s="0" t="n">
        <f aca="false">P16*O97</f>
        <v>0.00098232064816507</v>
      </c>
    </row>
    <row r="116" customFormat="false" ht="15" hidden="false" customHeight="false" outlineLevel="0" collapsed="false">
      <c r="B116" s="0" t="s">
        <v>116</v>
      </c>
      <c r="C116" s="103" t="s">
        <v>210</v>
      </c>
      <c r="D116" s="103"/>
      <c r="E116" s="103"/>
      <c r="F116" s="35" t="n">
        <f aca="false">P17*F98</f>
        <v>2.40866478443414</v>
      </c>
      <c r="J116" s="103" t="s">
        <v>116</v>
      </c>
      <c r="K116" s="103"/>
      <c r="L116" s="103" t="s">
        <v>211</v>
      </c>
      <c r="M116" s="103"/>
      <c r="N116" s="103"/>
      <c r="O116" s="0" t="n">
        <f aca="false">P17*O98</f>
        <v>3.16787621763638</v>
      </c>
      <c r="S116" s="112" t="s">
        <v>187</v>
      </c>
      <c r="T116" s="112"/>
    </row>
    <row r="117" customFormat="false" ht="15" hidden="false" customHeight="false" outlineLevel="0" collapsed="false">
      <c r="A117" s="111" t="s">
        <v>212</v>
      </c>
      <c r="B117" s="111"/>
      <c r="C117" s="111"/>
      <c r="D117" s="111"/>
      <c r="E117" s="111"/>
      <c r="F117" s="111"/>
      <c r="I117" s="111" t="s">
        <v>213</v>
      </c>
      <c r="J117" s="111"/>
      <c r="K117" s="111"/>
      <c r="L117" s="111"/>
      <c r="M117" s="111"/>
      <c r="N117" s="111"/>
      <c r="O117" s="111"/>
      <c r="S117" s="0" t="s">
        <v>23</v>
      </c>
      <c r="T117" s="113" t="b">
        <f aca="false">IF(Q19&lt;=V91,TRUE())</f>
        <v>1</v>
      </c>
    </row>
    <row r="118" customFormat="false" ht="15" hidden="false" customHeight="false" outlineLevel="0" collapsed="false">
      <c r="A118" s="29" t="s">
        <v>104</v>
      </c>
      <c r="B118" s="102" t="s">
        <v>105</v>
      </c>
      <c r="C118" s="102"/>
      <c r="D118" s="102"/>
      <c r="E118" s="102"/>
      <c r="F118" s="29" t="s">
        <v>194</v>
      </c>
      <c r="I118" s="29" t="s">
        <v>104</v>
      </c>
      <c r="J118" s="102" t="s">
        <v>105</v>
      </c>
      <c r="K118" s="102"/>
      <c r="L118" s="102"/>
      <c r="M118" s="102"/>
      <c r="N118" s="102"/>
      <c r="O118" s="29" t="s">
        <v>195</v>
      </c>
      <c r="S118" s="0" t="s">
        <v>24</v>
      </c>
      <c r="T118" s="113" t="b">
        <f aca="false">IF(Q20&lt;=V92,TRUE())</f>
        <v>1</v>
      </c>
    </row>
    <row r="119" customFormat="false" ht="15" hidden="false" customHeight="false" outlineLevel="0" collapsed="false">
      <c r="A119" s="0" t="s">
        <v>23</v>
      </c>
      <c r="B119" s="103" t="s">
        <v>214</v>
      </c>
      <c r="C119" s="103"/>
      <c r="D119" s="103"/>
      <c r="E119" s="103"/>
      <c r="F119" s="0" t="n">
        <f aca="false">Q19*F101</f>
        <v>2.77808715986372</v>
      </c>
      <c r="I119" s="0" t="s">
        <v>23</v>
      </c>
      <c r="J119" s="103" t="s">
        <v>215</v>
      </c>
      <c r="K119" s="103"/>
      <c r="L119" s="103"/>
      <c r="M119" s="103"/>
      <c r="N119" s="103"/>
      <c r="O119" s="0" t="n">
        <f aca="false">Q19*O101</f>
        <v>3.55872771058628</v>
      </c>
      <c r="S119" s="0" t="s">
        <v>25</v>
      </c>
      <c r="T119" s="113" t="b">
        <f aca="false">IF(Q21&lt;=V93,TRUE())</f>
        <v>1</v>
      </c>
    </row>
    <row r="120" customFormat="false" ht="15" hidden="false" customHeight="false" outlineLevel="0" collapsed="false">
      <c r="A120" s="0" t="s">
        <v>24</v>
      </c>
      <c r="B120" s="103" t="s">
        <v>216</v>
      </c>
      <c r="C120" s="103"/>
      <c r="D120" s="103"/>
      <c r="E120" s="103"/>
      <c r="F120" s="0" t="n">
        <f aca="false">Q20*F102</f>
        <v>2.99942383130119</v>
      </c>
      <c r="I120" s="0" t="s">
        <v>24</v>
      </c>
      <c r="J120" s="103" t="s">
        <v>217</v>
      </c>
      <c r="K120" s="103"/>
      <c r="L120" s="103"/>
      <c r="M120" s="103"/>
      <c r="N120" s="103"/>
      <c r="O120" s="0" t="n">
        <f aca="false">Q20*O102</f>
        <v>3.79068543388374</v>
      </c>
      <c r="S120" s="0" t="s">
        <v>26</v>
      </c>
      <c r="T120" s="113" t="b">
        <f aca="false">IF(Q22&lt;=V94,TRUE())</f>
        <v>1</v>
      </c>
    </row>
    <row r="121" customFormat="false" ht="15" hidden="false" customHeight="false" outlineLevel="0" collapsed="false">
      <c r="A121" s="0" t="s">
        <v>25</v>
      </c>
      <c r="B121" s="103" t="s">
        <v>218</v>
      </c>
      <c r="C121" s="103"/>
      <c r="D121" s="103"/>
      <c r="E121" s="103"/>
      <c r="F121" s="0" t="n">
        <f aca="false">Q21*F103</f>
        <v>2.27091927714773</v>
      </c>
      <c r="I121" s="0" t="s">
        <v>25</v>
      </c>
      <c r="J121" s="103" t="s">
        <v>219</v>
      </c>
      <c r="K121" s="103"/>
      <c r="L121" s="103"/>
      <c r="M121" s="103"/>
      <c r="N121" s="103"/>
      <c r="O121" s="0" t="n">
        <f aca="false">Q21*O103</f>
        <v>3.022305649243</v>
      </c>
    </row>
    <row r="122" customFormat="false" ht="15" hidden="false" customHeight="false" outlineLevel="0" collapsed="false">
      <c r="A122" s="0" t="s">
        <v>26</v>
      </c>
      <c r="B122" s="103" t="s">
        <v>220</v>
      </c>
      <c r="C122" s="103"/>
      <c r="D122" s="103"/>
      <c r="E122" s="103"/>
      <c r="F122" s="0" t="n">
        <f aca="false">Q22*F104</f>
        <v>2.40939142431788</v>
      </c>
      <c r="I122" s="0" t="s">
        <v>26</v>
      </c>
      <c r="J122" s="103" t="s">
        <v>221</v>
      </c>
      <c r="K122" s="103"/>
      <c r="L122" s="103"/>
      <c r="M122" s="103"/>
      <c r="N122" s="103"/>
      <c r="O122" s="0" t="n">
        <f aca="false">Q22*O104</f>
        <v>3.16885853828455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B121:E121"/>
    <mergeCell ref="J121:N121"/>
    <mergeCell ref="B122:E122"/>
    <mergeCell ref="J122:N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Danilo Dell'Orco</dc:creator>
  <dc:description/>
  <dc:language>it-IT</dc:language>
  <cp:lastModifiedBy/>
  <dcterms:modified xsi:type="dcterms:W3CDTF">2023-08-20T16:48:50Z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