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ti_OPTN" sheetId="1" state="visible" r:id="rId2"/>
    <sheet name="Arrivi" sheetId="2" state="visible" r:id="rId3"/>
    <sheet name="Uscite" sheetId="3" state="visible" r:id="rId4"/>
    <sheet name="Centri - Identical" sheetId="4" state="visible" r:id="rId5"/>
    <sheet name="Foglio1" sheetId="5" state="visible" r:id="rId6"/>
    <sheet name="Verifica - ABO I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9" authorId="0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 xml:space="preserve">tempo medio costante per un intervento di trapianto di rene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 xml:space="preserve">Non c'è una coda di trapianto</t>
        </r>
      </text>
    </comment>
  </commentList>
</comments>
</file>

<file path=xl/sharedStrings.xml><?xml version="1.0" encoding="utf-8"?>
<sst xmlns="http://schemas.openxmlformats.org/spreadsheetml/2006/main" count="872" uniqueCount="203">
  <si>
    <t xml:space="preserve">PAZIENTI - ARRIVI</t>
  </si>
  <si>
    <t xml:space="preserve">ORGANI - ARRIVI</t>
  </si>
  <si>
    <t xml:space="preserve">ABO</t>
  </si>
  <si>
    <t xml:space="preserve">Priorità</t>
  </si>
  <si>
    <t xml:space="preserve">2019</t>
  </si>
  <si>
    <t xml:space="preserve">2018</t>
  </si>
  <si>
    <t xml:space="preserve">2017</t>
  </si>
  <si>
    <t xml:space="preserve">2016</t>
  </si>
  <si>
    <t xml:space="preserve">2015</t>
  </si>
  <si>
    <t xml:space="preserve">2014</t>
  </si>
  <si>
    <t xml:space="preserve">2013</t>
  </si>
  <si>
    <t xml:space="preserve">2012</t>
  </si>
  <si>
    <t xml:space="preserve">2011</t>
  </si>
  <si>
    <t xml:space="preserve">2010</t>
  </si>
  <si>
    <t xml:space="preserve">2009</t>
  </si>
  <si>
    <t xml:space="preserve">Donor type</t>
  </si>
  <si>
    <t xml:space="preserve">All ABO</t>
  </si>
  <si>
    <t xml:space="preserve">All Types</t>
  </si>
  <si>
    <t xml:space="preserve">All Donor Types</t>
  </si>
  <si>
    <t xml:space="preserve">Critical</t>
  </si>
  <si>
    <t xml:space="preserve">Deceased Donor</t>
  </si>
  <si>
    <t xml:space="preserve">Normal</t>
  </si>
  <si>
    <t xml:space="preserve">Living Donor</t>
  </si>
  <si>
    <t xml:space="preserve">Low</t>
  </si>
  <si>
    <t xml:space="preserve">O</t>
  </si>
  <si>
    <t xml:space="preserve">A</t>
  </si>
  <si>
    <t xml:space="preserve">B</t>
  </si>
  <si>
    <t xml:space="preserve">AB</t>
  </si>
  <si>
    <t xml:space="preserve">PAZIENTI - DECESSI</t>
  </si>
  <si>
    <t xml:space="preserve">PAZIENTI - ABBANDONI (TOT)</t>
  </si>
  <si>
    <t xml:space="preserve">Priority</t>
  </si>
  <si>
    <t xml:space="preserve">TRAPIANTI</t>
  </si>
  <si>
    <t xml:space="preserve">PAZIENTI - ABBANDONI</t>
  </si>
  <si>
    <t xml:space="preserve">Rigetto</t>
  </si>
  <si>
    <t xml:space="preserve">Years PT</t>
  </si>
  <si>
    <t xml:space="preserve">No rigetto</t>
  </si>
  <si>
    <t xml:space="preserve">P(successo)</t>
  </si>
  <si>
    <t xml:space="preserve">P(Rigetto)</t>
  </si>
  <si>
    <t xml:space="preserve">p/anno (2014-2019)</t>
  </si>
  <si>
    <t xml:space="preserve">p/giorno (2014-2019)</t>
  </si>
  <si>
    <t xml:space="preserve">p/anno (2009-2013)</t>
  </si>
  <si>
    <t xml:space="preserve">p/giorno (2009-2013)</t>
  </si>
  <si>
    <t xml:space="preserve">Tipo</t>
  </si>
  <si>
    <t xml:space="preserve">o/anno (2014-2019)</t>
  </si>
  <si>
    <t xml:space="preserve">o/giorno (2014-2019)</t>
  </si>
  <si>
    <t xml:space="preserve">o/anno (2009-2013)</t>
  </si>
  <si>
    <t xml:space="preserve">o/giorno (2009-2013)</t>
  </si>
  <si>
    <t xml:space="preserve">d/anno (2014-2019)</t>
  </si>
  <si>
    <t xml:space="preserve">d/giorno (2014-2019)</t>
  </si>
  <si>
    <t xml:space="preserve">Probabilità</t>
  </si>
  <si>
    <t xml:space="preserve">r/anno (2014-2019)</t>
  </si>
  <si>
    <t xml:space="preserve">r/giorno (2014-2019)</t>
  </si>
  <si>
    <t xml:space="preserve">PAZIENTI - TRAPIANTI</t>
  </si>
  <si>
    <t xml:space="preserve">t/anno (2014-2019)</t>
  </si>
  <si>
    <t xml:space="preserve">t/giorno (2014-2019)</t>
  </si>
  <si>
    <t xml:space="preserve">Matching center - ABO Identical</t>
  </si>
  <si>
    <t xml:space="preserve">Pazienti</t>
  </si>
  <si>
    <t xml:space="preserve">Organi</t>
  </si>
  <si>
    <t xml:space="preserve">E(S)</t>
  </si>
  <si>
    <t xml:space="preserve">Utilizzazione</t>
  </si>
  <si>
    <t xml:space="preserve">E(Tq)</t>
  </si>
  <si>
    <t xml:space="preserve">E(Ts)</t>
  </si>
  <si>
    <t xml:space="preserve">E(Nq)</t>
  </si>
  <si>
    <t xml:space="preserve">E(Ns)</t>
  </si>
  <si>
    <t xml:space="preserve">Tasso di arrivo (tot)</t>
  </si>
  <si>
    <t xml:space="preserve">Tasso di morte</t>
  </si>
  <si>
    <t xml:space="preserve">Tasso di renege</t>
  </si>
  <si>
    <t xml:space="preserve">Tasso di arrivo (eff)</t>
  </si>
  <si>
    <t xml:space="preserve">Tasso di arrivo</t>
  </si>
  <si>
    <t xml:space="preserve">K</t>
  </si>
  <si>
    <t xml:space="preserve">Tot</t>
  </si>
  <si>
    <t xml:space="preserve">All</t>
  </si>
  <si>
    <t xml:space="preserve">Deceased</t>
  </si>
  <si>
    <t xml:space="preserve">Living</t>
  </si>
  <si>
    <t xml:space="preserve">Transplant center</t>
  </si>
  <si>
    <t xml:space="preserve">Tasso di trapianto</t>
  </si>
  <si>
    <t xml:space="preserve">Activation center</t>
  </si>
  <si>
    <t xml:space="preserve">Probabilità di morte</t>
  </si>
  <si>
    <t xml:space="preserve">Probabilità di renege</t>
  </si>
  <si>
    <t xml:space="preserve">Tasso di completamento</t>
  </si>
  <si>
    <t xml:space="preserve">Waiting List</t>
  </si>
  <si>
    <t xml:space="preserve">Organ Bank</t>
  </si>
  <si>
    <t xml:space="preserve">Matching</t>
  </si>
  <si>
    <t xml:space="preserve">PAZIENTI – DECESSI – PROBABILITÀ</t>
  </si>
  <si>
    <t xml:space="preserve">PAZIENTI – USCITE – PROBABILITÀ</t>
  </si>
  <si>
    <t xml:space="preserve">BT</t>
  </si>
  <si>
    <t xml:space="preserve">FORMULA</t>
  </si>
  <si>
    <t xml:space="preserve">P_R</t>
  </si>
  <si>
    <t xml:space="preserve">P_APPR</t>
  </si>
  <si>
    <t xml:space="preserve">P</t>
  </si>
  <si>
    <t xml:space="preserve">INC</t>
  </si>
  <si>
    <t xml:space="preserve">(decesso)/(arrivo+uscita)</t>
  </si>
  <si>
    <t xml:space="preserve">(uscita)/(arrivo+decesso)</t>
  </si>
  <si>
    <t xml:space="preserve">TASSI EFFETTIVI LISTA ATTESA</t>
  </si>
  <si>
    <t xml:space="preserve">TASSI DI MATCHING – (TASSO AL TRAPIANTO) CON PRIOR</t>
  </si>
  <si>
    <t xml:space="preserve">CRITICO</t>
  </si>
  <si>
    <t xml:space="preserve">(arrivo,C,O)*(1-p_uscita,O-p_decesso,O)</t>
  </si>
  <si>
    <t xml:space="preserve">tasso_effettivo_O,C</t>
  </si>
  <si>
    <t xml:space="preserve">NORMALE</t>
  </si>
  <si>
    <t xml:space="preserve">(arrivo,N,O)*(1-p_uscita,O-p_decesso,O)</t>
  </si>
  <si>
    <t xml:space="preserve">tasso_effettivo_O,N+tasso_effettivo_O,I</t>
  </si>
  <si>
    <t xml:space="preserve">(arrivo,C,A)*(1-p_uscita,A-p_decesso,A)</t>
  </si>
  <si>
    <t xml:space="preserve">tasso_effettivo_A,C</t>
  </si>
  <si>
    <t xml:space="preserve">(arrivo,N,A)*(1-p_uscita,A-p_decesso,A)</t>
  </si>
  <si>
    <t xml:space="preserve">tasso_effettivo_A,N+tasso_effettivo_A,I</t>
  </si>
  <si>
    <t xml:space="preserve">(arrivo,C,B)*(1-p_uscita,B-p_decesso,B)</t>
  </si>
  <si>
    <t xml:space="preserve">tasso_effettivo_B,C</t>
  </si>
  <si>
    <t xml:space="preserve">(arrivo,N,B)*(1-p_uscita,B-p_decesso,B)</t>
  </si>
  <si>
    <t xml:space="preserve">tasso_effettivo_B,N+tasso_effettivo_B,I</t>
  </si>
  <si>
    <t xml:space="preserve">CRITICO </t>
  </si>
  <si>
    <t xml:space="preserve">(arrivo,C,AB)*(1-p_uscita,AB-p_decesso,AB)</t>
  </si>
  <si>
    <t xml:space="preserve">tasso_effettivo_AB,C</t>
  </si>
  <si>
    <t xml:space="preserve">(arrivo,N,AB)*(1-p_uscita,AB-p_decesso,AB)</t>
  </si>
  <si>
    <t xml:space="preserve">tasso_effettivo_AB,N+tasso_effettivo_AB,I</t>
  </si>
  <si>
    <t xml:space="preserve">INATTIVI</t>
  </si>
  <si>
    <t xml:space="preserve">TASSI DI MATCHING – (TASSO AL TRAPIANTO)</t>
  </si>
  <si>
    <t xml:space="preserve">CODE BILANCIATE</t>
  </si>
  <si>
    <t xml:space="preserve">INATTIVO</t>
  </si>
  <si>
    <t xml:space="preserve">(arrivo,I,O)*(1-p_uscita,O-p_decesso,O)</t>
  </si>
  <si>
    <t xml:space="preserve">tasso_effettivo_O,C+tasso_effettivo_O,N+tasso_effettivo_O,I</t>
  </si>
  <si>
    <t xml:space="preserve">(arrivo,I,A)*(1-p_uscita,A-p_decesso,A)</t>
  </si>
  <si>
    <t xml:space="preserve">tasso_effettivo_A,C+tasso_effettivo_A,N+tasso_effettivo_A,I</t>
  </si>
  <si>
    <t xml:space="preserve">(arrivo,I,B)*(1-p_uscita,B-p_decesso,B)</t>
  </si>
  <si>
    <t xml:space="preserve">tasso_effettivo_B,C+tasso_effettivo_B,N+tasso_effettivo_B,I</t>
  </si>
  <si>
    <t xml:space="preserve">(arrivo,I,AB)*(1-p_uscita,AB-p_decesso,AB)</t>
  </si>
  <si>
    <t xml:space="preserve">tasso_effettivo_AB,C+tasso_effettivo_AB,N+tasso_effettivo_AB,I</t>
  </si>
  <si>
    <t xml:space="preserve">PROBABILITÀ H2 – SERVIZIO ORGANI</t>
  </si>
  <si>
    <t xml:space="preserve">TEMPO DI SERVIZIO H2 - STADIO 1</t>
  </si>
  <si>
    <t xml:space="preserve">TASSO DI SERVIZIO H2 – STADIO 2</t>
  </si>
  <si>
    <t xml:space="preserve">TASSO DI SERVIZIO H2</t>
  </si>
  <si>
    <t xml:space="preserve">1-P</t>
  </si>
  <si>
    <t xml:space="preserve">E(S1)</t>
  </si>
  <si>
    <t xml:space="preserve">E(S2)</t>
  </si>
  <si>
    <t xml:space="preserve">MU</t>
  </si>
  <si>
    <t xml:space="preserve">(donatori viventi_O)/(donatori totali_O)</t>
  </si>
  <si>
    <t xml:space="preserve">1/(2*P*tasso_donatore_vivente_O)</t>
  </si>
  <si>
    <t xml:space="preserve">1/(2*(1-P)*tasso_donatore_morto_O)</t>
  </si>
  <si>
    <t xml:space="preserve">P*E(s1)+(1-P)*E(s2)</t>
  </si>
  <si>
    <t xml:space="preserve">(donatori viventi_A)/(donatori totali_A)</t>
  </si>
  <si>
    <t xml:space="preserve">1/(2*P*tasso_donatore_vivente_A)</t>
  </si>
  <si>
    <t xml:space="preserve">1/(2*(1-P)*tasso_donatore_morto_A)</t>
  </si>
  <si>
    <t xml:space="preserve">(donatori viventi_B)/(donatori totali_B)</t>
  </si>
  <si>
    <t xml:space="preserve">1/(2*P*tasso_donatore_vivente_B)</t>
  </si>
  <si>
    <t xml:space="preserve">1/(2*(1-P)*tasso_donatore_morto_B)</t>
  </si>
  <si>
    <t xml:space="preserve">(donatori viventi_AB)/(donatori totali_AB)</t>
  </si>
  <si>
    <t xml:space="preserve">1/(2*P*tasso_donatore_vivente_AB)</t>
  </si>
  <si>
    <t xml:space="preserve">1/(2*(1-P)*tasso_donatore_morto_AB)</t>
  </si>
  <si>
    <t xml:space="preserve">UTILIZZAZIONE</t>
  </si>
  <si>
    <t xml:space="preserve">G(P)</t>
  </si>
  <si>
    <t xml:space="preserve">tasso_match_O*E(S)</t>
  </si>
  <si>
    <t xml:space="preserve">1/(2*P*(1-P))-1</t>
  </si>
  <si>
    <t xml:space="preserve">tasso_match_A*E(S)</t>
  </si>
  <si>
    <t xml:space="preserve">tasso_match_B*E(S)</t>
  </si>
  <si>
    <t xml:space="preserve">tasso_match_AB*E(S)</t>
  </si>
  <si>
    <t xml:space="preserve">UTILIZZAZIONE – SINGOLA CODA PRIORITÀ</t>
  </si>
  <si>
    <t xml:space="preserve">PRIORITÀ</t>
  </si>
  <si>
    <t xml:space="preserve">P1-P2</t>
  </si>
  <si>
    <t xml:space="preserve">RO1-RO2</t>
  </si>
  <si>
    <t xml:space="preserve">CRITICO (1)</t>
  </si>
  <si>
    <t xml:space="preserve">NORMALE (2)</t>
  </si>
  <si>
    <t xml:space="preserve">TEMPO DI ATTESA IN CODA – LOCALE</t>
  </si>
  <si>
    <t xml:space="preserve">TEMPO DI RISPOSTA – LOCALE</t>
  </si>
  <si>
    <t xml:space="preserve">PRIORITA</t>
  </si>
  <si>
    <t xml:space="preserve">E(TQ)</t>
  </si>
  <si>
    <t xml:space="preserve">E(TS)</t>
  </si>
  <si>
    <t xml:space="preserve">RO*E(S)*(1+G(P))/2*(1-RO1)</t>
  </si>
  <si>
    <t xml:space="preserve">E(TQ1)+E(S)</t>
  </si>
  <si>
    <t xml:space="preserve">RO*E(S)*(1+G(P))/2*(1-RO1)(1-RO)</t>
  </si>
  <si>
    <t xml:space="preserve">E(TQ2)+E(S)</t>
  </si>
  <si>
    <t xml:space="preserve">TEMPO DI ATTESA – GLOBALE</t>
  </si>
  <si>
    <t xml:space="preserve">TEMPO DI RISPOSTA – GLOBALE</t>
  </si>
  <si>
    <t xml:space="preserve">P1*E(TQ1)+P2*E(TQ2)</t>
  </si>
  <si>
    <t xml:space="preserve">P1*E(TS1)+P2*E(TS2)</t>
  </si>
  <si>
    <t xml:space="preserve">NUMERO MEDIO IN CODA – LOCALE</t>
  </si>
  <si>
    <t xml:space="preserve">NUMERO MEDIO IN NODO – LOCALE</t>
  </si>
  <si>
    <t xml:space="preserve">E(NQ)</t>
  </si>
  <si>
    <t xml:space="preserve">E(NS)</t>
  </si>
  <si>
    <t xml:space="preserve">tasso_effettivo_O,C*E(TQ1)</t>
  </si>
  <si>
    <t xml:space="preserve">tasso_effettivo_O,C*E(TS1)</t>
  </si>
  <si>
    <t xml:space="preserve">tasso_effettivo_O,N*E(TQ2)</t>
  </si>
  <si>
    <t xml:space="preserve">tasso_effettivo_O,N*E(TS2)</t>
  </si>
  <si>
    <t xml:space="preserve">tasso_effettivo_A,C*E(TQ1)</t>
  </si>
  <si>
    <t xml:space="preserve">tasso_effettivo_A,C*E(TS1)</t>
  </si>
  <si>
    <t xml:space="preserve">tasso_effettivo_A,N*E(TQ2)</t>
  </si>
  <si>
    <t xml:space="preserve">tasso_effettivo_A,N*E(TS2)</t>
  </si>
  <si>
    <t xml:space="preserve">tasso_effettivo_B,C*E(TQ1)</t>
  </si>
  <si>
    <t xml:space="preserve">tasso_effettivo_B,C*E(TS1)</t>
  </si>
  <si>
    <t xml:space="preserve">tasso_effettivo_B,N*E(TQ2)</t>
  </si>
  <si>
    <t xml:space="preserve">tasso_effettivo_B,N*E(TS2)</t>
  </si>
  <si>
    <t xml:space="preserve">tasso_effettivo_AB,C*E(TQ1)</t>
  </si>
  <si>
    <t xml:space="preserve">tasso_effettivo_AB,C*E(TS1)</t>
  </si>
  <si>
    <t xml:space="preserve">tasso_effettivo_AB,N*E(TQ2)</t>
  </si>
  <si>
    <t xml:space="preserve">tasso_effettivo_AB,N*E(TS2)</t>
  </si>
  <si>
    <t xml:space="preserve">NUMERO MEDIO IN CODA – GLOBALE</t>
  </si>
  <si>
    <t xml:space="preserve">NUMERO MEDIO IN NODO – GLOBALE</t>
  </si>
  <si>
    <t xml:space="preserve">tasso_effettivo_O*E(TQ)</t>
  </si>
  <si>
    <t xml:space="preserve">tasso_effettivo_O*E(TS)</t>
  </si>
  <si>
    <t xml:space="preserve">tasso_effettivo_A*E(TQ)</t>
  </si>
  <si>
    <t xml:space="preserve">tasso_effettivo_A*E(TS)</t>
  </si>
  <si>
    <t xml:space="preserve">tasso_effettivo_B*E(TQ)</t>
  </si>
  <si>
    <t xml:space="preserve">tasso_effettivo_B*E(TS)</t>
  </si>
  <si>
    <t xml:space="preserve">tasso_effettivo_AB*E(TQ)</t>
  </si>
  <si>
    <t xml:space="preserve">tasso_effettivo_AB*E(TS)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</si>
</sst>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000"/>
    <numFmt numFmtId="168" formatCode="0.00000"/>
    <numFmt numFmtId="169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8FAADC"/>
        <bgColor rgb="FF729FCF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4B183"/>
      </patternFill>
    </fill>
    <fill>
      <patternFill patternType="solid">
        <fgColor rgb="FFFF8000"/>
        <bgColor rgb="FFFF6600"/>
      </patternFill>
    </fill>
    <fill>
      <patternFill patternType="solid">
        <fgColor rgb="FF81D41A"/>
        <bgColor rgb="FF92D05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E6E905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FCC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a1" displayName="Tabella1" ref="O2:AA17" headerRowCount="1" totalsRowCount="0" totalsRowShown="0">
  <autoFilter ref="O2:AA17"/>
  <tableColumns count="13">
    <tableColumn id="1" name="ABO"/>
    <tableColumn id="2" name="Donor type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10.xml><?xml version="1.0" encoding="utf-8"?>
<table xmlns="http://schemas.openxmlformats.org/spreadsheetml/2006/main" id="10" name="Tabella8" displayName="Tabella8" ref="A25:M45" headerRowCount="1" totalsRowCount="0" totalsRowShown="0">
  <autoFilter ref="A25:M45"/>
  <tableColumns count="13">
    <tableColumn id="1" name="ABO"/>
    <tableColumn id="2" name="Priority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11.xml><?xml version="1.0" encoding="utf-8"?>
<table xmlns="http://schemas.openxmlformats.org/spreadsheetml/2006/main" id="11" name="Tabella9" displayName="Tabella9" ref="O25:AA45" headerRowCount="1" totalsRowCount="0" totalsRowShown="0">
  <autoFilter ref="O25:AA45"/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12.xml><?xml version="1.0" encoding="utf-8"?>
<table xmlns="http://schemas.openxmlformats.org/spreadsheetml/2006/main" id="12" name="Tabella913" displayName="Tabella913" ref="O48:AA68" headerRowCount="1" totalsRowCount="0" totalsRowShown="0">
  <autoFilter ref="O48:AA68"/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2.xml><?xml version="1.0" encoding="utf-8"?>
<table xmlns="http://schemas.openxmlformats.org/spreadsheetml/2006/main" id="2" name="Tabella2" displayName="Tabella2" ref="A2:M22" headerRowCount="1" totalsRowCount="0" totalsRowShown="0"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tables/table3.xml><?xml version="1.0" encoding="utf-8"?>
<table xmlns="http://schemas.openxmlformats.org/spreadsheetml/2006/main" id="3" name="Tabella3" displayName="Tabella3" ref="A2:F22" headerRowCount="1" totalsRowCount="0" totalsRowShown="0">
  <autoFilter ref="A2:F22"/>
  <tableColumns count="6">
    <tableColumn id="1" name="ABO"/>
    <tableColumn id="2" name="Priorità"/>
    <tableColumn id="3" name="p/anno (2014-2019)"/>
    <tableColumn id="4" name="p/giorno (2014-2019)"/>
    <tableColumn id="5" name="p/anno (2009-2013)"/>
    <tableColumn id="6" name="p/giorno (2009-2013)"/>
  </tableColumns>
</table>
</file>

<file path=xl/tables/table4.xml><?xml version="1.0" encoding="utf-8"?>
<table xmlns="http://schemas.openxmlformats.org/spreadsheetml/2006/main" id="4" name="Tabella4" displayName="Tabella4" ref="A25:F40" headerRowCount="1" totalsRowCount="0" totalsRowShown="0">
  <autoFilter ref="A25:F40"/>
  <tableColumns count="6">
    <tableColumn id="1" name="ABO"/>
    <tableColumn id="2" name="Tipo"/>
    <tableColumn id="3" name="o/anno (2014-2019)"/>
    <tableColumn id="4" name="o/giorno (2014-2019)"/>
    <tableColumn id="5" name="o/anno (2009-2013)"/>
    <tableColumn id="6" name="o/giorno (2009-2013)"/>
  </tableColumns>
</table>
</file>

<file path=xl/tables/table5.xml><?xml version="1.0" encoding="utf-8"?>
<table xmlns="http://schemas.openxmlformats.org/spreadsheetml/2006/main" id="5" name="Tabella5" displayName="Tabella5" ref="A2:E22" headerRowCount="1" totalsRowCount="0" totalsRowShown="0">
  <autoFilter ref="A2:E22"/>
  <tableColumns count="5">
    <tableColumn id="1" name="ABO"/>
    <tableColumn id="2" name="Priorità"/>
    <tableColumn id="3" name="d/anno (2014-2019)"/>
    <tableColumn id="4" name="d/giorno (2014-2019)"/>
    <tableColumn id="5" name="Probabilità"/>
  </tableColumns>
</table>
</file>

<file path=xl/tables/table6.xml><?xml version="1.0" encoding="utf-8"?>
<table xmlns="http://schemas.openxmlformats.org/spreadsheetml/2006/main" id="6" name="Tabella511" displayName="Tabella511" ref="A25:E45" headerRowCount="1" totalsRowCount="0" totalsRowShown="0">
  <autoFilter ref="A25:E45"/>
  <tableColumns count="5">
    <tableColumn id="1" name="ABO"/>
    <tableColumn id="2" name="Priorità"/>
    <tableColumn id="3" name="r/anno (2014-2019)"/>
    <tableColumn id="4" name="r/giorno (2014-2019)"/>
    <tableColumn id="5" name="Probabilità"/>
  </tableColumns>
</table>
</file>

<file path=xl/tables/table7.xml><?xml version="1.0" encoding="utf-8"?>
<table xmlns="http://schemas.openxmlformats.org/spreadsheetml/2006/main" id="7" name="Tabella512" displayName="Tabella512" ref="A49:E69" headerRowCount="1" totalsRowCount="0" totalsRowShown="0">
  <autoFilter ref="A49:E69"/>
  <tableColumns count="5">
    <tableColumn id="1" name="ABO"/>
    <tableColumn id="2" name="Priorità"/>
    <tableColumn id="3" name="t/anno (2014-2019)"/>
    <tableColumn id="4" name="t/giorno (2014-2019)"/>
    <tableColumn id="5" name="Probabilità"/>
  </tableColumns>
</table>
</file>

<file path=xl/tables/table8.xml><?xml version="1.0" encoding="utf-8"?>
<table xmlns="http://schemas.openxmlformats.org/spreadsheetml/2006/main" id="8" name="Tabella6" displayName="Tabella6" ref="A71:E86" headerRowCount="1" totalsRowCount="0" totalsRowShown="0">
  <autoFilter ref="A71:E86"/>
  <tableColumns count="5">
    <tableColumn id="1" name="ABO"/>
    <tableColumn id="2" name="Years PT"/>
    <tableColumn id="3" name="No rigetto"/>
    <tableColumn id="4" name="P(successo)"/>
    <tableColumn id="5" name="P(Rigetto)"/>
  </tableColumns>
</table>
</file>

<file path=xl/tables/table9.xml><?xml version="1.0" encoding="utf-8"?>
<table xmlns="http://schemas.openxmlformats.org/spreadsheetml/2006/main" id="9" name="Tabella7" displayName="Tabella7" ref="A48:M68" headerRowCount="1" totalsRowCount="0" totalsRowShown="0">
  <tableColumns count="13">
    <tableColumn id="1" name="ABO"/>
    <tableColumn id="2" name="Priorità"/>
    <tableColumn id="3" name="2019"/>
    <tableColumn id="4" name="2018"/>
    <tableColumn id="5" name="2017"/>
    <tableColumn id="6" name="2016"/>
    <tableColumn id="7" name="2015"/>
    <tableColumn id="8" name="2014"/>
    <tableColumn id="9" name="2013"/>
    <tableColumn id="10" name="2012"/>
    <tableColumn id="11" name="2011"/>
    <tableColumn id="12" name="2010"/>
    <tableColumn id="13" name="200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6.xml"/><Relationship Id="rId3" Type="http://schemas.openxmlformats.org/officeDocument/2006/relationships/table" Target="../tables/table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2.86"/>
    <col collapsed="false" customWidth="true" hidden="false" outlineLevel="0" max="3" min="3" style="0" width="11.42"/>
    <col collapsed="false" customWidth="true" hidden="false" outlineLevel="0" max="4" min="4" style="0" width="12.14"/>
    <col collapsed="false" customWidth="true" hidden="false" outlineLevel="0" max="5" min="5" style="0" width="13.14"/>
    <col collapsed="false" customWidth="true" hidden="false" outlineLevel="0" max="6" min="6" style="0" width="16.29"/>
    <col collapsed="false" customWidth="true" hidden="false" outlineLevel="0" max="16" min="16" style="0" width="9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O2" s="2" t="s">
        <v>2</v>
      </c>
      <c r="P2" s="2" t="s">
        <v>15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2" t="s">
        <v>13</v>
      </c>
      <c r="AA2" s="2" t="s">
        <v>14</v>
      </c>
    </row>
    <row r="3" customFormat="false" ht="15" hidden="false" customHeight="false" outlineLevel="0" collapsed="false">
      <c r="A3" s="0" t="s">
        <v>16</v>
      </c>
      <c r="B3" s="0" t="s">
        <v>17</v>
      </c>
      <c r="C3" s="0" t="n">
        <v>41100</v>
      </c>
      <c r="D3" s="0" t="n">
        <v>38801</v>
      </c>
      <c r="E3" s="0" t="n">
        <v>35592</v>
      </c>
      <c r="F3" s="0" t="n">
        <v>35417</v>
      </c>
      <c r="G3" s="0" t="n">
        <v>35033</v>
      </c>
      <c r="H3" s="0" t="n">
        <v>36154</v>
      </c>
      <c r="I3" s="3" t="n">
        <v>36393</v>
      </c>
      <c r="J3" s="3" t="n">
        <v>34831</v>
      </c>
      <c r="K3" s="3" t="n">
        <v>33560</v>
      </c>
      <c r="L3" s="3" t="n">
        <v>34400</v>
      </c>
      <c r="M3" s="3" t="n">
        <v>33646</v>
      </c>
      <c r="O3" s="0" t="s">
        <v>16</v>
      </c>
      <c r="P3" s="0" t="s">
        <v>18</v>
      </c>
      <c r="Q3" s="0" t="n">
        <v>18018</v>
      </c>
      <c r="R3" s="0" t="n">
        <v>16310</v>
      </c>
      <c r="S3" s="0" t="n">
        <v>15212</v>
      </c>
      <c r="T3" s="0" t="n">
        <v>14745</v>
      </c>
      <c r="U3" s="0" t="n">
        <v>13878</v>
      </c>
      <c r="V3" s="0" t="n">
        <v>13302</v>
      </c>
      <c r="W3" s="3" t="n">
        <v>13282</v>
      </c>
      <c r="X3" s="3" t="n">
        <v>13040</v>
      </c>
      <c r="Y3" s="3" t="n">
        <v>13207</v>
      </c>
      <c r="Z3" s="3" t="n">
        <v>13519</v>
      </c>
      <c r="AA3" s="3" t="n">
        <v>13636</v>
      </c>
    </row>
    <row r="4" customFormat="false" ht="15" hidden="false" customHeight="false" outlineLevel="0" collapsed="false">
      <c r="B4" s="0" t="s">
        <v>19</v>
      </c>
      <c r="C4" s="0" t="n">
        <v>41</v>
      </c>
      <c r="D4" s="0" t="n">
        <v>37</v>
      </c>
      <c r="E4" s="0" t="n">
        <v>19</v>
      </c>
      <c r="F4" s="0" t="n">
        <v>45</v>
      </c>
      <c r="G4" s="0" t="n">
        <v>46</v>
      </c>
      <c r="H4" s="0" t="n">
        <v>36</v>
      </c>
      <c r="I4" s="3" t="n">
        <v>29</v>
      </c>
      <c r="J4" s="3" t="n">
        <v>28</v>
      </c>
      <c r="K4" s="3" t="n">
        <v>29</v>
      </c>
      <c r="L4" s="3" t="n">
        <v>34</v>
      </c>
      <c r="M4" s="3" t="n">
        <v>35</v>
      </c>
      <c r="P4" s="0" t="s">
        <v>20</v>
      </c>
      <c r="Q4" s="0" t="n">
        <v>11152</v>
      </c>
      <c r="R4" s="0" t="n">
        <v>9867</v>
      </c>
      <c r="S4" s="0" t="n">
        <v>9401</v>
      </c>
      <c r="T4" s="0" t="n">
        <v>9116</v>
      </c>
      <c r="U4" s="0" t="n">
        <v>8250</v>
      </c>
      <c r="V4" s="0" t="n">
        <v>7763</v>
      </c>
      <c r="W4" s="3" t="n">
        <v>7548</v>
      </c>
      <c r="X4" s="3" t="n">
        <v>7421</v>
      </c>
      <c r="Y4" s="3" t="n">
        <v>7434</v>
      </c>
      <c r="Z4" s="3" t="n">
        <v>7241</v>
      </c>
      <c r="AA4" s="3" t="n">
        <v>7248</v>
      </c>
    </row>
    <row r="5" customFormat="false" ht="15" hidden="false" customHeight="false" outlineLevel="0" collapsed="false">
      <c r="B5" s="0" t="s">
        <v>21</v>
      </c>
      <c r="C5" s="0" t="n">
        <v>31145</v>
      </c>
      <c r="D5" s="0" t="n">
        <v>29735</v>
      </c>
      <c r="E5" s="0" t="n">
        <v>27913</v>
      </c>
      <c r="F5" s="0" t="n">
        <v>27644</v>
      </c>
      <c r="G5" s="0" t="n">
        <v>26395</v>
      </c>
      <c r="H5" s="0" t="n">
        <v>25197</v>
      </c>
      <c r="I5" s="3" t="n">
        <v>25120</v>
      </c>
      <c r="J5" s="3" t="n">
        <v>24125</v>
      </c>
      <c r="K5" s="3" t="n">
        <v>23502</v>
      </c>
      <c r="L5" s="3" t="n">
        <v>24367</v>
      </c>
      <c r="M5" s="3" t="n">
        <v>24299</v>
      </c>
      <c r="P5" s="0" t="s">
        <v>22</v>
      </c>
      <c r="Q5" s="0" t="n">
        <v>6866</v>
      </c>
      <c r="R5" s="0" t="n">
        <v>6443</v>
      </c>
      <c r="S5" s="0" t="n">
        <v>5811</v>
      </c>
      <c r="T5" s="0" t="n">
        <v>5629</v>
      </c>
      <c r="U5" s="0" t="n">
        <v>5628</v>
      </c>
      <c r="V5" s="0" t="n">
        <v>5539</v>
      </c>
      <c r="W5" s="3" t="n">
        <v>5734</v>
      </c>
      <c r="X5" s="3" t="n">
        <v>5619</v>
      </c>
      <c r="Y5" s="3" t="n">
        <v>5773</v>
      </c>
      <c r="Z5" s="3" t="n">
        <v>6278</v>
      </c>
      <c r="AA5" s="3" t="n">
        <v>6388</v>
      </c>
    </row>
    <row r="6" customFormat="false" ht="15" hidden="false" customHeight="false" outlineLevel="0" collapsed="false">
      <c r="B6" s="0" t="s">
        <v>23</v>
      </c>
      <c r="C6" s="0" t="n">
        <v>10345</v>
      </c>
      <c r="D6" s="0" t="n">
        <v>9391</v>
      </c>
      <c r="E6" s="0" t="n">
        <v>7967</v>
      </c>
      <c r="F6" s="0" t="n">
        <v>8074</v>
      </c>
      <c r="G6" s="0" t="n">
        <v>8938</v>
      </c>
      <c r="H6" s="0" t="n">
        <v>11390</v>
      </c>
      <c r="I6" s="3" t="n">
        <v>11725</v>
      </c>
      <c r="J6" s="3" t="n">
        <v>11107</v>
      </c>
      <c r="K6" s="3" t="n">
        <v>10405</v>
      </c>
      <c r="L6" s="3" t="n">
        <v>10365</v>
      </c>
      <c r="M6" s="3" t="n">
        <v>9726</v>
      </c>
      <c r="O6" s="0" t="s">
        <v>24</v>
      </c>
      <c r="P6" s="0" t="s">
        <v>18</v>
      </c>
      <c r="Q6" s="0" t="n">
        <v>9625</v>
      </c>
      <c r="R6" s="0" t="n">
        <v>8673</v>
      </c>
      <c r="S6" s="0" t="n">
        <v>8159</v>
      </c>
      <c r="T6" s="0" t="n">
        <v>7956</v>
      </c>
      <c r="U6" s="0" t="n">
        <v>7513</v>
      </c>
      <c r="V6" s="0" t="n">
        <v>7156</v>
      </c>
      <c r="W6" s="3" t="n">
        <v>7211</v>
      </c>
      <c r="X6" s="3" t="n">
        <v>7064</v>
      </c>
      <c r="Y6" s="3" t="n">
        <v>7244</v>
      </c>
      <c r="Z6" s="3" t="n">
        <v>7431</v>
      </c>
      <c r="AA6" s="3" t="n">
        <v>7653</v>
      </c>
    </row>
    <row r="7" customFormat="false" ht="15" hidden="false" customHeight="false" outlineLevel="0" collapsed="false">
      <c r="A7" s="0" t="s">
        <v>24</v>
      </c>
      <c r="B7" s="0" t="s">
        <v>17</v>
      </c>
      <c r="C7" s="0" t="n">
        <v>20140</v>
      </c>
      <c r="D7" s="0" t="n">
        <v>18962</v>
      </c>
      <c r="E7" s="0" t="n">
        <v>17205</v>
      </c>
      <c r="F7" s="0" t="n">
        <v>17454</v>
      </c>
      <c r="G7" s="0" t="n">
        <v>16980</v>
      </c>
      <c r="H7" s="0" t="n">
        <v>17581</v>
      </c>
      <c r="I7" s="3" t="n">
        <v>17643</v>
      </c>
      <c r="J7" s="3" t="n">
        <v>16975</v>
      </c>
      <c r="K7" s="3" t="n">
        <v>16237</v>
      </c>
      <c r="L7" s="3" t="n">
        <v>16668</v>
      </c>
      <c r="M7" s="3" t="n">
        <v>16325</v>
      </c>
      <c r="P7" s="0" t="s">
        <v>20</v>
      </c>
      <c r="Q7" s="0" t="n">
        <v>5322</v>
      </c>
      <c r="R7" s="0" t="n">
        <v>4665</v>
      </c>
      <c r="S7" s="0" t="n">
        <v>4504</v>
      </c>
      <c r="T7" s="0" t="n">
        <v>4363</v>
      </c>
      <c r="U7" s="0" t="n">
        <v>3977</v>
      </c>
      <c r="V7" s="0" t="n">
        <v>3683</v>
      </c>
      <c r="W7" s="3" t="n">
        <v>3614</v>
      </c>
      <c r="X7" s="3" t="n">
        <v>3463</v>
      </c>
      <c r="Y7" s="3" t="n">
        <v>3566</v>
      </c>
      <c r="Z7" s="3" t="n">
        <v>3449</v>
      </c>
      <c r="AA7" s="3" t="n">
        <v>3458</v>
      </c>
    </row>
    <row r="8" customFormat="false" ht="15" hidden="false" customHeight="false" outlineLevel="0" collapsed="false">
      <c r="B8" s="0" t="s">
        <v>19</v>
      </c>
      <c r="C8" s="0" t="n">
        <v>19</v>
      </c>
      <c r="D8" s="0" t="n">
        <v>17</v>
      </c>
      <c r="E8" s="0" t="n">
        <v>10</v>
      </c>
      <c r="F8" s="0" t="n">
        <v>23</v>
      </c>
      <c r="G8" s="0" t="n">
        <v>31</v>
      </c>
      <c r="H8" s="0" t="n">
        <v>14</v>
      </c>
      <c r="I8" s="3" t="n">
        <v>13</v>
      </c>
      <c r="J8" s="3" t="n">
        <v>20</v>
      </c>
      <c r="K8" s="3" t="n">
        <v>16</v>
      </c>
      <c r="L8" s="3" t="n">
        <v>16</v>
      </c>
      <c r="M8" s="3" t="n">
        <v>15</v>
      </c>
      <c r="P8" s="0" t="s">
        <v>22</v>
      </c>
      <c r="Q8" s="0" t="n">
        <v>4303</v>
      </c>
      <c r="R8" s="0" t="n">
        <v>4008</v>
      </c>
      <c r="S8" s="0" t="n">
        <v>3655</v>
      </c>
      <c r="T8" s="0" t="n">
        <v>3593</v>
      </c>
      <c r="U8" s="0" t="n">
        <v>3536</v>
      </c>
      <c r="V8" s="0" t="n">
        <v>3473</v>
      </c>
      <c r="W8" s="3" t="n">
        <v>3597</v>
      </c>
      <c r="X8" s="3" t="n">
        <v>3601</v>
      </c>
      <c r="Y8" s="3" t="n">
        <v>3678</v>
      </c>
      <c r="Z8" s="3" t="n">
        <v>3982</v>
      </c>
      <c r="AA8" s="3" t="n">
        <v>4195</v>
      </c>
    </row>
    <row r="9" customFormat="false" ht="15" hidden="false" customHeight="false" outlineLevel="0" collapsed="false">
      <c r="B9" s="0" t="s">
        <v>21</v>
      </c>
      <c r="C9" s="0" t="n">
        <v>15382</v>
      </c>
      <c r="D9" s="0" t="n">
        <v>14662</v>
      </c>
      <c r="E9" s="0" t="n">
        <v>13658</v>
      </c>
      <c r="F9" s="0" t="n">
        <v>13652</v>
      </c>
      <c r="G9" s="0" t="n">
        <v>12810</v>
      </c>
      <c r="H9" s="0" t="n">
        <v>12356</v>
      </c>
      <c r="I9" s="3" t="n">
        <v>12164</v>
      </c>
      <c r="J9" s="3" t="n">
        <v>11814</v>
      </c>
      <c r="K9" s="3" t="n">
        <v>11454</v>
      </c>
      <c r="L9" s="3" t="n">
        <v>11807</v>
      </c>
      <c r="M9" s="3" t="n">
        <v>11751</v>
      </c>
      <c r="O9" s="0" t="s">
        <v>25</v>
      </c>
      <c r="P9" s="0" t="s">
        <v>18</v>
      </c>
      <c r="Q9" s="0" t="n">
        <v>6016</v>
      </c>
      <c r="R9" s="0" t="n">
        <v>5440</v>
      </c>
      <c r="S9" s="0" t="n">
        <v>5139</v>
      </c>
      <c r="T9" s="0" t="n">
        <v>4934</v>
      </c>
      <c r="U9" s="0" t="n">
        <v>4597</v>
      </c>
      <c r="V9" s="0" t="n">
        <v>4399</v>
      </c>
      <c r="W9" s="3" t="n">
        <v>4392</v>
      </c>
      <c r="X9" s="3" t="n">
        <v>4282</v>
      </c>
      <c r="Y9" s="3" t="n">
        <v>4257</v>
      </c>
      <c r="Z9" s="3" t="n">
        <v>4328</v>
      </c>
      <c r="AA9" s="3" t="n">
        <v>4360</v>
      </c>
    </row>
    <row r="10" customFormat="false" ht="15" hidden="false" customHeight="false" outlineLevel="0" collapsed="false">
      <c r="B10" s="0" t="s">
        <v>23</v>
      </c>
      <c r="C10" s="0" t="n">
        <v>4937</v>
      </c>
      <c r="D10" s="0" t="n">
        <v>4464</v>
      </c>
      <c r="E10" s="0" t="n">
        <v>3681</v>
      </c>
      <c r="F10" s="0" t="n">
        <v>3963</v>
      </c>
      <c r="G10" s="0" t="n">
        <v>4311</v>
      </c>
      <c r="H10" s="0" t="n">
        <v>5434</v>
      </c>
      <c r="I10" s="3" t="n">
        <v>5680</v>
      </c>
      <c r="J10" s="3" t="n">
        <v>5334</v>
      </c>
      <c r="K10" s="3" t="n">
        <v>4945</v>
      </c>
      <c r="L10" s="3" t="n">
        <v>5031</v>
      </c>
      <c r="M10" s="3" t="n">
        <v>4759</v>
      </c>
      <c r="P10" s="0" t="s">
        <v>20</v>
      </c>
      <c r="Q10" s="0" t="n">
        <v>4127</v>
      </c>
      <c r="R10" s="0" t="n">
        <v>3635</v>
      </c>
      <c r="S10" s="0" t="n">
        <v>3516</v>
      </c>
      <c r="T10" s="0" t="n">
        <v>3403</v>
      </c>
      <c r="U10" s="0" t="n">
        <v>3020</v>
      </c>
      <c r="V10" s="0" t="n">
        <v>2882</v>
      </c>
      <c r="W10" s="3" t="n">
        <v>2815</v>
      </c>
      <c r="X10" s="3" t="n">
        <v>2766</v>
      </c>
      <c r="Y10" s="3" t="n">
        <v>2715</v>
      </c>
      <c r="Z10" s="3" t="n">
        <v>2638</v>
      </c>
      <c r="AA10" s="3" t="n">
        <v>2722</v>
      </c>
    </row>
    <row r="11" customFormat="false" ht="15" hidden="false" customHeight="false" outlineLevel="0" collapsed="false">
      <c r="A11" s="0" t="s">
        <v>25</v>
      </c>
      <c r="B11" s="0" t="s">
        <v>17</v>
      </c>
      <c r="C11" s="0" t="n">
        <v>13308</v>
      </c>
      <c r="D11" s="0" t="n">
        <v>12483</v>
      </c>
      <c r="E11" s="0" t="n">
        <v>11709</v>
      </c>
      <c r="F11" s="0" t="n">
        <v>11496</v>
      </c>
      <c r="G11" s="0" t="n">
        <v>11479</v>
      </c>
      <c r="H11" s="0" t="n">
        <v>11808</v>
      </c>
      <c r="I11" s="3" t="n">
        <v>11907</v>
      </c>
      <c r="J11" s="3" t="n">
        <v>11429</v>
      </c>
      <c r="K11" s="3" t="n">
        <v>11234</v>
      </c>
      <c r="L11" s="3" t="n">
        <v>11387</v>
      </c>
      <c r="M11" s="3" t="n">
        <v>11084</v>
      </c>
      <c r="P11" s="0" t="s">
        <v>22</v>
      </c>
      <c r="Q11" s="0" t="n">
        <v>1889</v>
      </c>
      <c r="R11" s="0" t="n">
        <v>1805</v>
      </c>
      <c r="S11" s="0" t="n">
        <v>1623</v>
      </c>
      <c r="T11" s="0" t="n">
        <v>1531</v>
      </c>
      <c r="U11" s="0" t="n">
        <v>1577</v>
      </c>
      <c r="V11" s="0" t="n">
        <v>1517</v>
      </c>
      <c r="W11" s="3" t="n">
        <v>1577</v>
      </c>
      <c r="X11" s="3" t="n">
        <v>1516</v>
      </c>
      <c r="Y11" s="3" t="n">
        <v>1542</v>
      </c>
      <c r="Z11" s="3" t="n">
        <v>1690</v>
      </c>
      <c r="AA11" s="3" t="n">
        <v>1638</v>
      </c>
    </row>
    <row r="12" customFormat="false" ht="15" hidden="false" customHeight="false" outlineLevel="0" collapsed="false">
      <c r="B12" s="0" t="s">
        <v>19</v>
      </c>
      <c r="C12" s="0" t="n">
        <v>10</v>
      </c>
      <c r="D12" s="0" t="n">
        <v>10</v>
      </c>
      <c r="E12" s="0" t="n">
        <v>8</v>
      </c>
      <c r="F12" s="0" t="n">
        <v>12</v>
      </c>
      <c r="G12" s="0" t="n">
        <v>8</v>
      </c>
      <c r="H12" s="0" t="n">
        <v>16</v>
      </c>
      <c r="I12" s="3" t="n">
        <v>10</v>
      </c>
      <c r="J12" s="3" t="n">
        <v>7</v>
      </c>
      <c r="K12" s="3" t="n">
        <v>7</v>
      </c>
      <c r="L12" s="3" t="n">
        <v>12</v>
      </c>
      <c r="M12" s="3" t="n">
        <v>7</v>
      </c>
      <c r="O12" s="0" t="s">
        <v>26</v>
      </c>
      <c r="P12" s="0" t="s">
        <v>18</v>
      </c>
      <c r="Q12" s="0" t="n">
        <v>1875</v>
      </c>
      <c r="R12" s="0" t="n">
        <v>1783</v>
      </c>
      <c r="S12" s="0" t="n">
        <v>1514</v>
      </c>
      <c r="T12" s="0" t="n">
        <v>1500</v>
      </c>
      <c r="U12" s="0" t="n">
        <v>1398</v>
      </c>
      <c r="V12" s="0" t="n">
        <v>1400</v>
      </c>
      <c r="W12" s="3" t="n">
        <v>1361</v>
      </c>
      <c r="X12" s="3" t="n">
        <v>1362</v>
      </c>
      <c r="Y12" s="3" t="n">
        <v>1374</v>
      </c>
      <c r="Z12" s="3" t="n">
        <v>1442</v>
      </c>
      <c r="AA12" s="3" t="n">
        <v>1349</v>
      </c>
    </row>
    <row r="13" customFormat="false" ht="15" hidden="false" customHeight="false" outlineLevel="0" collapsed="false">
      <c r="B13" s="0" t="s">
        <v>21</v>
      </c>
      <c r="C13" s="0" t="n">
        <v>9915</v>
      </c>
      <c r="D13" s="0" t="n">
        <v>9378</v>
      </c>
      <c r="E13" s="0" t="n">
        <v>9046</v>
      </c>
      <c r="F13" s="0" t="n">
        <v>8850</v>
      </c>
      <c r="G13" s="0" t="n">
        <v>8677</v>
      </c>
      <c r="H13" s="0" t="n">
        <v>8153</v>
      </c>
      <c r="I13" s="3" t="n">
        <v>8253</v>
      </c>
      <c r="J13" s="3" t="n">
        <v>7919</v>
      </c>
      <c r="K13" s="3" t="n">
        <v>7809</v>
      </c>
      <c r="L13" s="3" t="n">
        <v>8128</v>
      </c>
      <c r="M13" s="3" t="n">
        <v>8044</v>
      </c>
      <c r="P13" s="0" t="s">
        <v>20</v>
      </c>
      <c r="Q13" s="0" t="n">
        <v>1313</v>
      </c>
      <c r="R13" s="0" t="n">
        <v>1221</v>
      </c>
      <c r="S13" s="0" t="n">
        <v>1058</v>
      </c>
      <c r="T13" s="0" t="n">
        <v>1072</v>
      </c>
      <c r="U13" s="0" t="n">
        <v>950</v>
      </c>
      <c r="V13" s="0" t="n">
        <v>929</v>
      </c>
      <c r="W13" s="3" t="n">
        <v>874</v>
      </c>
      <c r="X13" s="3" t="n">
        <v>935</v>
      </c>
      <c r="Y13" s="3" t="n">
        <v>889</v>
      </c>
      <c r="Z13" s="3" t="n">
        <v>896</v>
      </c>
      <c r="AA13" s="3" t="n">
        <v>850</v>
      </c>
    </row>
    <row r="14" customFormat="false" ht="15" hidden="false" customHeight="false" outlineLevel="0" collapsed="false">
      <c r="B14" s="0" t="s">
        <v>23</v>
      </c>
      <c r="C14" s="0" t="n">
        <v>3529</v>
      </c>
      <c r="D14" s="0" t="n">
        <v>3216</v>
      </c>
      <c r="E14" s="0" t="n">
        <v>2760</v>
      </c>
      <c r="F14" s="0" t="n">
        <v>2739</v>
      </c>
      <c r="G14" s="0" t="n">
        <v>2900</v>
      </c>
      <c r="H14" s="0" t="n">
        <v>3782</v>
      </c>
      <c r="I14" s="3" t="n">
        <v>3814</v>
      </c>
      <c r="J14" s="3" t="n">
        <v>3650</v>
      </c>
      <c r="K14" s="3" t="n">
        <v>3541</v>
      </c>
      <c r="L14" s="3" t="n">
        <v>3359</v>
      </c>
      <c r="M14" s="3" t="n">
        <v>3156</v>
      </c>
      <c r="P14" s="0" t="s">
        <v>22</v>
      </c>
      <c r="Q14" s="0" t="n">
        <v>562</v>
      </c>
      <c r="R14" s="0" t="n">
        <v>562</v>
      </c>
      <c r="S14" s="0" t="n">
        <v>456</v>
      </c>
      <c r="T14" s="0" t="n">
        <v>428</v>
      </c>
      <c r="U14" s="0" t="n">
        <v>448</v>
      </c>
      <c r="V14" s="0" t="n">
        <v>471</v>
      </c>
      <c r="W14" s="3" t="n">
        <v>487</v>
      </c>
      <c r="X14" s="3" t="n">
        <v>427</v>
      </c>
      <c r="Y14" s="3" t="n">
        <v>485</v>
      </c>
      <c r="Z14" s="3" t="n">
        <v>546</v>
      </c>
      <c r="AA14" s="3" t="n">
        <v>499</v>
      </c>
    </row>
    <row r="15" customFormat="false" ht="15" hidden="false" customHeight="false" outlineLevel="0" collapsed="false">
      <c r="A15" s="0" t="s">
        <v>26</v>
      </c>
      <c r="B15" s="0" t="s">
        <v>17</v>
      </c>
      <c r="C15" s="0" t="n">
        <v>6077</v>
      </c>
      <c r="D15" s="0" t="n">
        <v>5865</v>
      </c>
      <c r="E15" s="0" t="n">
        <v>5305</v>
      </c>
      <c r="F15" s="0" t="n">
        <v>5189</v>
      </c>
      <c r="G15" s="0" t="n">
        <v>5201</v>
      </c>
      <c r="H15" s="0" t="n">
        <v>5394</v>
      </c>
      <c r="I15" s="3" t="n">
        <v>5489</v>
      </c>
      <c r="J15" s="3" t="n">
        <v>5085</v>
      </c>
      <c r="K15" s="3" t="n">
        <v>4830</v>
      </c>
      <c r="L15" s="3" t="n">
        <v>4991</v>
      </c>
      <c r="M15" s="3" t="n">
        <v>4917</v>
      </c>
      <c r="O15" s="0" t="s">
        <v>27</v>
      </c>
      <c r="P15" s="0" t="s">
        <v>18</v>
      </c>
      <c r="Q15" s="0" t="n">
        <v>502</v>
      </c>
      <c r="R15" s="0" t="n">
        <v>414</v>
      </c>
      <c r="S15" s="0" t="n">
        <v>400</v>
      </c>
      <c r="T15" s="0" t="n">
        <v>355</v>
      </c>
      <c r="U15" s="0" t="n">
        <v>370</v>
      </c>
      <c r="V15" s="0" t="n">
        <v>347</v>
      </c>
      <c r="W15" s="3" t="n">
        <v>318</v>
      </c>
      <c r="X15" s="3" t="n">
        <v>332</v>
      </c>
      <c r="Y15" s="3" t="n">
        <v>332</v>
      </c>
      <c r="Z15" s="3" t="n">
        <v>318</v>
      </c>
      <c r="AA15" s="3" t="n">
        <v>274</v>
      </c>
    </row>
    <row r="16" customFormat="false" ht="15" hidden="false" customHeight="false" outlineLevel="0" collapsed="false">
      <c r="B16" s="0" t="s">
        <v>19</v>
      </c>
      <c r="C16" s="0" t="n">
        <v>10</v>
      </c>
      <c r="D16" s="0" t="n">
        <v>7</v>
      </c>
      <c r="E16" s="0" t="n">
        <v>0</v>
      </c>
      <c r="F16" s="0" t="n">
        <v>8</v>
      </c>
      <c r="G16" s="0" t="n">
        <v>5</v>
      </c>
      <c r="H16" s="0" t="n">
        <v>6</v>
      </c>
      <c r="I16" s="3" t="n">
        <v>5</v>
      </c>
      <c r="J16" s="3" t="n">
        <v>1</v>
      </c>
      <c r="K16" s="3" t="n">
        <v>3</v>
      </c>
      <c r="L16" s="3" t="n">
        <v>5</v>
      </c>
      <c r="M16" s="3" t="n">
        <v>13</v>
      </c>
      <c r="P16" s="0" t="s">
        <v>20</v>
      </c>
      <c r="Q16" s="0" t="n">
        <v>390</v>
      </c>
      <c r="R16" s="0" t="n">
        <v>346</v>
      </c>
      <c r="S16" s="0" t="n">
        <v>323</v>
      </c>
      <c r="T16" s="0" t="n">
        <v>278</v>
      </c>
      <c r="U16" s="0" t="n">
        <v>303</v>
      </c>
      <c r="V16" s="0" t="n">
        <v>269</v>
      </c>
      <c r="W16" s="3" t="n">
        <v>245</v>
      </c>
      <c r="X16" s="3" t="n">
        <v>257</v>
      </c>
      <c r="Y16" s="3" t="n">
        <v>264</v>
      </c>
      <c r="Z16" s="3" t="n">
        <v>258</v>
      </c>
      <c r="AA16" s="3" t="n">
        <v>218</v>
      </c>
    </row>
    <row r="17" customFormat="false" ht="15" hidden="false" customHeight="false" outlineLevel="0" collapsed="false">
      <c r="B17" s="0" t="s">
        <v>21</v>
      </c>
      <c r="C17" s="0" t="n">
        <v>4689</v>
      </c>
      <c r="D17" s="0" t="n">
        <v>4577</v>
      </c>
      <c r="E17" s="0" t="n">
        <v>4175</v>
      </c>
      <c r="F17" s="0" t="n">
        <v>4126</v>
      </c>
      <c r="G17" s="0" t="n">
        <v>3905</v>
      </c>
      <c r="H17" s="0" t="n">
        <v>3716</v>
      </c>
      <c r="I17" s="3" t="n">
        <v>3790</v>
      </c>
      <c r="J17" s="3" t="n">
        <v>3478</v>
      </c>
      <c r="K17" s="3" t="n">
        <v>3371</v>
      </c>
      <c r="L17" s="3" t="n">
        <v>3517</v>
      </c>
      <c r="M17" s="3" t="n">
        <v>3554</v>
      </c>
      <c r="P17" s="0" t="s">
        <v>22</v>
      </c>
      <c r="Q17" s="0" t="n">
        <v>112</v>
      </c>
      <c r="R17" s="0" t="n">
        <v>68</v>
      </c>
      <c r="S17" s="0" t="n">
        <v>77</v>
      </c>
      <c r="T17" s="0" t="n">
        <v>77</v>
      </c>
      <c r="U17" s="0" t="n">
        <v>67</v>
      </c>
      <c r="V17" s="0" t="n">
        <v>78</v>
      </c>
      <c r="W17" s="3" t="n">
        <v>73</v>
      </c>
      <c r="X17" s="3" t="n">
        <v>75</v>
      </c>
      <c r="Y17" s="3" t="n">
        <v>68</v>
      </c>
      <c r="Z17" s="3" t="n">
        <v>60</v>
      </c>
      <c r="AA17" s="3" t="n">
        <v>56</v>
      </c>
    </row>
    <row r="18" customFormat="false" ht="15" hidden="false" customHeight="false" outlineLevel="0" collapsed="false">
      <c r="B18" s="0" t="s">
        <v>23</v>
      </c>
      <c r="C18" s="0" t="n">
        <v>1449</v>
      </c>
      <c r="D18" s="0" t="n">
        <v>1329</v>
      </c>
      <c r="E18" s="0" t="n">
        <v>1176</v>
      </c>
      <c r="F18" s="0" t="n">
        <v>1099</v>
      </c>
      <c r="G18" s="0" t="n">
        <v>1346</v>
      </c>
      <c r="H18" s="0" t="n">
        <v>1758</v>
      </c>
      <c r="I18" s="3" t="n">
        <v>1773</v>
      </c>
      <c r="J18" s="3" t="n">
        <v>1680</v>
      </c>
      <c r="K18" s="3" t="n">
        <v>1517</v>
      </c>
      <c r="L18" s="3" t="n">
        <v>1518</v>
      </c>
      <c r="M18" s="3" t="n">
        <v>1424</v>
      </c>
    </row>
    <row r="19" customFormat="false" ht="15" hidden="false" customHeight="false" outlineLevel="0" collapsed="false">
      <c r="A19" s="0" t="s">
        <v>27</v>
      </c>
      <c r="B19" s="0" t="s">
        <v>17</v>
      </c>
      <c r="C19" s="0" t="n">
        <v>1576</v>
      </c>
      <c r="D19" s="0" t="n">
        <v>1491</v>
      </c>
      <c r="E19" s="0" t="n">
        <v>1374</v>
      </c>
      <c r="F19" s="0" t="n">
        <v>1279</v>
      </c>
      <c r="G19" s="0" t="n">
        <v>1374</v>
      </c>
      <c r="H19" s="0" t="n">
        <v>1371</v>
      </c>
      <c r="I19" s="3" t="n">
        <v>1355</v>
      </c>
      <c r="J19" s="3" t="n">
        <v>1343</v>
      </c>
      <c r="K19" s="3" t="n">
        <v>1260</v>
      </c>
      <c r="L19" s="3" t="n">
        <v>1354</v>
      </c>
      <c r="M19" s="3" t="n">
        <v>1323</v>
      </c>
    </row>
    <row r="20" customFormat="false" ht="15" hidden="false" customHeight="false" outlineLevel="0" collapsed="false">
      <c r="B20" s="0" t="s">
        <v>19</v>
      </c>
      <c r="C20" s="0" t="n">
        <v>2</v>
      </c>
      <c r="D20" s="0" t="n">
        <v>3</v>
      </c>
      <c r="E20" s="0" t="n">
        <v>1</v>
      </c>
      <c r="F20" s="0" t="n">
        <v>2</v>
      </c>
      <c r="G20" s="0" t="n">
        <v>2</v>
      </c>
      <c r="H20" s="0" t="n">
        <v>0</v>
      </c>
      <c r="I20" s="3" t="n">
        <v>1</v>
      </c>
      <c r="J20" s="3" t="n">
        <v>0</v>
      </c>
      <c r="K20" s="3" t="n">
        <v>3</v>
      </c>
      <c r="L20" s="3" t="n">
        <v>1</v>
      </c>
      <c r="M20" s="3" t="n">
        <v>0</v>
      </c>
    </row>
    <row r="21" customFormat="false" ht="15" hidden="false" customHeight="false" outlineLevel="0" collapsed="false">
      <c r="B21" s="0" t="s">
        <v>21</v>
      </c>
      <c r="C21" s="0" t="n">
        <v>1160</v>
      </c>
      <c r="D21" s="0" t="n">
        <v>1118</v>
      </c>
      <c r="E21" s="0" t="n">
        <v>1035</v>
      </c>
      <c r="F21" s="0" t="n">
        <v>1017</v>
      </c>
      <c r="G21" s="0" t="n">
        <v>1004</v>
      </c>
      <c r="H21" s="0" t="n">
        <v>973</v>
      </c>
      <c r="I21" s="3" t="n">
        <v>914</v>
      </c>
      <c r="J21" s="3" t="n">
        <v>915</v>
      </c>
      <c r="K21" s="3" t="n">
        <v>869</v>
      </c>
      <c r="L21" s="3" t="n">
        <v>915</v>
      </c>
      <c r="M21" s="3" t="n">
        <v>952</v>
      </c>
    </row>
    <row r="22" customFormat="false" ht="15" hidden="false" customHeight="false" outlineLevel="0" collapsed="false">
      <c r="B22" s="0" t="s">
        <v>23</v>
      </c>
      <c r="C22" s="0" t="n">
        <v>430</v>
      </c>
      <c r="D22" s="0" t="n">
        <v>382</v>
      </c>
      <c r="E22" s="0" t="n">
        <v>350</v>
      </c>
      <c r="F22" s="0" t="n">
        <v>273</v>
      </c>
      <c r="G22" s="0" t="n">
        <v>381</v>
      </c>
      <c r="H22" s="0" t="n">
        <v>416</v>
      </c>
      <c r="I22" s="3" t="n">
        <v>458</v>
      </c>
      <c r="J22" s="3" t="n">
        <v>443</v>
      </c>
      <c r="K22" s="3" t="n">
        <v>402</v>
      </c>
      <c r="L22" s="3" t="n">
        <v>457</v>
      </c>
      <c r="M22" s="3" t="n">
        <v>388</v>
      </c>
    </row>
    <row r="23" customFormat="false" ht="15" hidden="false" customHeight="false" outlineLevel="0" collapsed="false">
      <c r="I23" s="3"/>
      <c r="J23" s="3"/>
      <c r="K23" s="3"/>
      <c r="L23" s="3"/>
      <c r="M23" s="3"/>
    </row>
    <row r="24" customFormat="false" ht="15" hidden="false" customHeight="false" outlineLevel="0" collapsed="false">
      <c r="A24" s="1" t="s">
        <v>28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 t="s">
        <v>29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5" hidden="false" customHeight="false" outlineLevel="0" collapsed="false">
      <c r="A25" s="2" t="s">
        <v>2</v>
      </c>
      <c r="B25" s="2" t="s">
        <v>30</v>
      </c>
      <c r="C25" s="2" t="s">
        <v>4</v>
      </c>
      <c r="D25" s="2" t="s">
        <v>5</v>
      </c>
      <c r="E25" s="2" t="s">
        <v>6</v>
      </c>
      <c r="F25" s="2" t="s">
        <v>7</v>
      </c>
      <c r="G25" s="2" t="s">
        <v>8</v>
      </c>
      <c r="H25" s="2" t="s">
        <v>9</v>
      </c>
      <c r="I25" s="2" t="s">
        <v>10</v>
      </c>
      <c r="J25" s="2" t="s">
        <v>11</v>
      </c>
      <c r="K25" s="2" t="s">
        <v>12</v>
      </c>
      <c r="L25" s="2" t="s">
        <v>13</v>
      </c>
      <c r="M25" s="2" t="s">
        <v>14</v>
      </c>
      <c r="O25" s="2" t="s">
        <v>2</v>
      </c>
      <c r="P25" s="2" t="s">
        <v>3</v>
      </c>
      <c r="Q25" s="2" t="s">
        <v>4</v>
      </c>
      <c r="R25" s="2" t="s">
        <v>5</v>
      </c>
      <c r="S25" s="2" t="s">
        <v>6</v>
      </c>
      <c r="T25" s="2" t="s">
        <v>7</v>
      </c>
      <c r="U25" s="2" t="s">
        <v>8</v>
      </c>
      <c r="V25" s="2" t="s">
        <v>9</v>
      </c>
      <c r="W25" s="2" t="s">
        <v>10</v>
      </c>
      <c r="X25" s="2" t="s">
        <v>11</v>
      </c>
      <c r="Y25" s="2" t="s">
        <v>12</v>
      </c>
      <c r="Z25" s="2" t="s">
        <v>13</v>
      </c>
      <c r="AA25" s="2" t="s">
        <v>14</v>
      </c>
    </row>
    <row r="26" customFormat="false" ht="15" hidden="false" customHeight="false" outlineLevel="0" collapsed="false">
      <c r="A26" s="0" t="s">
        <v>16</v>
      </c>
      <c r="B26" s="0" t="s">
        <v>17</v>
      </c>
      <c r="C26" s="0" t="n">
        <v>3871</v>
      </c>
      <c r="D26" s="0" t="n">
        <v>4102</v>
      </c>
      <c r="E26" s="0" t="n">
        <v>4298</v>
      </c>
      <c r="F26" s="0" t="n">
        <v>4691</v>
      </c>
      <c r="G26" s="0" t="n">
        <v>4796</v>
      </c>
      <c r="H26" s="0" t="n">
        <v>4753</v>
      </c>
      <c r="I26" s="0" t="n">
        <v>4607</v>
      </c>
      <c r="J26" s="0" t="n">
        <v>4619</v>
      </c>
      <c r="K26" s="0" t="n">
        <v>4783</v>
      </c>
      <c r="L26" s="0" t="n">
        <v>4678</v>
      </c>
      <c r="M26" s="0" t="n">
        <v>4688</v>
      </c>
      <c r="O26" s="0" t="s">
        <v>16</v>
      </c>
      <c r="P26" s="0" t="s">
        <v>17</v>
      </c>
      <c r="Q26" s="0" t="n">
        <v>38209</v>
      </c>
      <c r="R26" s="0" t="n">
        <v>36615</v>
      </c>
      <c r="S26" s="0" t="n">
        <v>35806</v>
      </c>
      <c r="T26" s="0" t="n">
        <v>35255</v>
      </c>
      <c r="U26" s="0" t="n">
        <v>33964</v>
      </c>
      <c r="V26" s="0" t="n">
        <v>31404</v>
      </c>
      <c r="W26" s="0" t="n">
        <v>29921</v>
      </c>
      <c r="X26" s="0" t="n">
        <v>28865</v>
      </c>
      <c r="Y26" s="0" t="n">
        <v>28705</v>
      </c>
      <c r="Z26" s="0" t="n">
        <v>27802</v>
      </c>
      <c r="AA26" s="0" t="n">
        <v>27104</v>
      </c>
    </row>
    <row r="27" customFormat="false" ht="15" hidden="false" customHeight="false" outlineLevel="0" collapsed="false">
      <c r="B27" s="0" t="s">
        <v>19</v>
      </c>
      <c r="C27" s="0" t="n">
        <v>1</v>
      </c>
      <c r="D27" s="0" t="n">
        <v>1</v>
      </c>
      <c r="E27" s="0" t="n">
        <v>2</v>
      </c>
      <c r="F27" s="0" t="n">
        <v>1</v>
      </c>
      <c r="G27" s="0" t="n">
        <v>1</v>
      </c>
      <c r="H27" s="0" t="n">
        <v>2</v>
      </c>
      <c r="I27" s="0" t="n">
        <v>0</v>
      </c>
      <c r="J27" s="0" t="n">
        <v>4</v>
      </c>
      <c r="K27" s="0" t="n">
        <v>9</v>
      </c>
      <c r="L27" s="0" t="n">
        <v>10</v>
      </c>
      <c r="M27" s="0" t="n">
        <v>9</v>
      </c>
      <c r="P27" s="0" t="s">
        <v>19</v>
      </c>
      <c r="Q27" s="0" t="n">
        <v>20</v>
      </c>
      <c r="R27" s="0" t="n">
        <v>15</v>
      </c>
      <c r="S27" s="0" t="n">
        <v>15</v>
      </c>
      <c r="T27" s="0" t="n">
        <v>27</v>
      </c>
      <c r="U27" s="0" t="n">
        <v>19</v>
      </c>
      <c r="V27" s="0" t="n">
        <v>31</v>
      </c>
      <c r="W27" s="0" t="n">
        <v>32</v>
      </c>
      <c r="X27" s="0" t="n">
        <v>24</v>
      </c>
      <c r="Y27" s="0" t="n">
        <v>49</v>
      </c>
      <c r="Z27" s="0" t="n">
        <v>55</v>
      </c>
      <c r="AA27" s="0" t="n">
        <v>61</v>
      </c>
    </row>
    <row r="28" customFormat="false" ht="15" hidden="false" customHeight="false" outlineLevel="0" collapsed="false">
      <c r="B28" s="0" t="s">
        <v>21</v>
      </c>
      <c r="C28" s="0" t="n">
        <v>1546</v>
      </c>
      <c r="D28" s="0" t="n">
        <v>1590</v>
      </c>
      <c r="E28" s="0" t="n">
        <v>1587</v>
      </c>
      <c r="F28" s="0" t="n">
        <v>1734</v>
      </c>
      <c r="G28" s="0" t="n">
        <v>1767</v>
      </c>
      <c r="H28" s="0" t="n">
        <v>1862</v>
      </c>
      <c r="I28" s="0" t="n">
        <v>1783</v>
      </c>
      <c r="J28" s="0" t="n">
        <v>1718</v>
      </c>
      <c r="K28" s="0" t="n">
        <v>1848</v>
      </c>
      <c r="L28" s="0" t="n">
        <v>1928</v>
      </c>
      <c r="M28" s="0" t="n">
        <v>1955</v>
      </c>
      <c r="P28" s="0" t="s">
        <v>21</v>
      </c>
      <c r="Q28" s="0" t="n">
        <v>26030</v>
      </c>
      <c r="R28" s="0" t="n">
        <v>23850</v>
      </c>
      <c r="S28" s="0" t="n">
        <v>22750</v>
      </c>
      <c r="T28" s="0" t="n">
        <v>22012</v>
      </c>
      <c r="U28" s="0" t="n">
        <v>21151</v>
      </c>
      <c r="V28" s="0" t="n">
        <v>19945</v>
      </c>
      <c r="W28" s="0" t="n">
        <v>19615</v>
      </c>
      <c r="X28" s="0" t="n">
        <v>18972</v>
      </c>
      <c r="Y28" s="0" t="n">
        <v>19268</v>
      </c>
      <c r="Z28" s="0" t="n">
        <v>19133</v>
      </c>
      <c r="AA28" s="0" t="n">
        <v>18986</v>
      </c>
    </row>
    <row r="29" customFormat="false" ht="15" hidden="false" customHeight="false" outlineLevel="0" collapsed="false">
      <c r="B29" s="0" t="s">
        <v>23</v>
      </c>
      <c r="C29" s="0" t="n">
        <v>2407</v>
      </c>
      <c r="D29" s="0" t="n">
        <v>2572</v>
      </c>
      <c r="E29" s="0" t="n">
        <v>2789</v>
      </c>
      <c r="F29" s="0" t="n">
        <v>3047</v>
      </c>
      <c r="G29" s="0" t="n">
        <v>3095</v>
      </c>
      <c r="H29" s="0" t="n">
        <v>2971</v>
      </c>
      <c r="I29" s="0" t="n">
        <v>2893</v>
      </c>
      <c r="J29" s="0" t="n">
        <v>2979</v>
      </c>
      <c r="K29" s="0" t="n">
        <v>3009</v>
      </c>
      <c r="L29" s="0" t="n">
        <v>2812</v>
      </c>
      <c r="M29" s="0" t="n">
        <v>2783</v>
      </c>
      <c r="P29" s="0" t="s">
        <v>23</v>
      </c>
      <c r="Q29" s="0" t="n">
        <v>13335</v>
      </c>
      <c r="R29" s="0" t="n">
        <v>13852</v>
      </c>
      <c r="S29" s="0" t="n">
        <v>14119</v>
      </c>
      <c r="T29" s="0" t="n">
        <v>14301</v>
      </c>
      <c r="U29" s="0" t="n">
        <v>13844</v>
      </c>
      <c r="V29" s="0" t="n">
        <v>12378</v>
      </c>
      <c r="W29" s="0" t="n">
        <v>11162</v>
      </c>
      <c r="X29" s="0" t="n">
        <v>10689</v>
      </c>
      <c r="Y29" s="0" t="n">
        <v>10177</v>
      </c>
      <c r="Z29" s="0" t="n">
        <v>9349</v>
      </c>
      <c r="AA29" s="0" t="n">
        <v>8736</v>
      </c>
    </row>
    <row r="30" customFormat="false" ht="15" hidden="false" customHeight="false" outlineLevel="0" collapsed="false">
      <c r="A30" s="0" t="s">
        <v>24</v>
      </c>
      <c r="B30" s="0" t="s">
        <v>17</v>
      </c>
      <c r="C30" s="0" t="n">
        <v>2103</v>
      </c>
      <c r="D30" s="0" t="n">
        <v>2207</v>
      </c>
      <c r="E30" s="0" t="n">
        <v>2231</v>
      </c>
      <c r="F30" s="0" t="n">
        <v>2444</v>
      </c>
      <c r="G30" s="0" t="n">
        <v>2484</v>
      </c>
      <c r="H30" s="0" t="n">
        <v>2412</v>
      </c>
      <c r="I30" s="0" t="n">
        <v>2383</v>
      </c>
      <c r="J30" s="0" t="n">
        <v>2414</v>
      </c>
      <c r="K30" s="0" t="n">
        <v>2453</v>
      </c>
      <c r="L30" s="0" t="n">
        <v>2427</v>
      </c>
      <c r="M30" s="0" t="n">
        <v>2458</v>
      </c>
      <c r="O30" s="0" t="s">
        <v>24</v>
      </c>
      <c r="P30" s="0" t="s">
        <v>17</v>
      </c>
      <c r="Q30" s="0" t="n">
        <v>18433</v>
      </c>
      <c r="R30" s="0" t="n">
        <v>17616</v>
      </c>
      <c r="S30" s="0" t="n">
        <v>17270</v>
      </c>
      <c r="T30" s="0" t="n">
        <v>17020</v>
      </c>
      <c r="U30" s="0" t="n">
        <v>16392</v>
      </c>
      <c r="V30" s="0" t="n">
        <v>15034</v>
      </c>
      <c r="W30" s="0" t="n">
        <v>14327</v>
      </c>
      <c r="X30" s="0" t="n">
        <v>13733</v>
      </c>
      <c r="Y30" s="0" t="n">
        <v>13701</v>
      </c>
      <c r="Z30" s="0" t="n">
        <v>13369</v>
      </c>
      <c r="AA30" s="0" t="n">
        <v>13068</v>
      </c>
    </row>
    <row r="31" customFormat="false" ht="15" hidden="false" customHeight="false" outlineLevel="0" collapsed="false">
      <c r="B31" s="0" t="s">
        <v>19</v>
      </c>
      <c r="C31" s="0" t="n">
        <v>1</v>
      </c>
      <c r="D31" s="0" t="n">
        <v>1</v>
      </c>
      <c r="E31" s="0" t="n">
        <v>2</v>
      </c>
      <c r="F31" s="0" t="n">
        <v>1</v>
      </c>
      <c r="G31" s="0" t="n">
        <v>0</v>
      </c>
      <c r="H31" s="0" t="n">
        <v>1</v>
      </c>
      <c r="I31" s="0" t="n">
        <v>0</v>
      </c>
      <c r="J31" s="0" t="n">
        <v>0</v>
      </c>
      <c r="K31" s="0" t="n">
        <v>5</v>
      </c>
      <c r="L31" s="0" t="n">
        <v>4</v>
      </c>
      <c r="M31" s="0" t="n">
        <v>7</v>
      </c>
      <c r="P31" s="0" t="s">
        <v>19</v>
      </c>
      <c r="Q31" s="0" t="n">
        <v>8</v>
      </c>
      <c r="R31" s="0" t="n">
        <v>8</v>
      </c>
      <c r="S31" s="0" t="n">
        <v>8</v>
      </c>
      <c r="T31" s="0" t="n">
        <v>17</v>
      </c>
      <c r="U31" s="0" t="n">
        <v>10</v>
      </c>
      <c r="V31" s="0" t="n">
        <v>14</v>
      </c>
      <c r="W31" s="0" t="n">
        <v>17</v>
      </c>
      <c r="X31" s="0" t="n">
        <v>10</v>
      </c>
      <c r="Y31" s="0" t="n">
        <v>28</v>
      </c>
      <c r="Z31" s="0" t="n">
        <v>20</v>
      </c>
      <c r="AA31" s="0" t="n">
        <v>40</v>
      </c>
    </row>
    <row r="32" customFormat="false" ht="15" hidden="false" customHeight="false" outlineLevel="0" collapsed="false">
      <c r="B32" s="0" t="s">
        <v>21</v>
      </c>
      <c r="C32" s="0" t="n">
        <v>874</v>
      </c>
      <c r="D32" s="0" t="n">
        <v>902</v>
      </c>
      <c r="E32" s="0" t="n">
        <v>836</v>
      </c>
      <c r="F32" s="0" t="n">
        <v>929</v>
      </c>
      <c r="G32" s="0" t="n">
        <v>954</v>
      </c>
      <c r="H32" s="0" t="n">
        <v>988</v>
      </c>
      <c r="I32" s="0" t="n">
        <v>962</v>
      </c>
      <c r="J32" s="0" t="n">
        <v>909</v>
      </c>
      <c r="K32" s="0" t="n">
        <v>1010</v>
      </c>
      <c r="L32" s="0" t="n">
        <v>1019</v>
      </c>
      <c r="M32" s="0" t="n">
        <v>1064</v>
      </c>
      <c r="P32" s="0" t="s">
        <v>21</v>
      </c>
      <c r="Q32" s="0" t="n">
        <v>12252</v>
      </c>
      <c r="R32" s="0" t="n">
        <v>11181</v>
      </c>
      <c r="S32" s="0" t="n">
        <v>10682</v>
      </c>
      <c r="T32" s="0" t="n">
        <v>10318</v>
      </c>
      <c r="U32" s="0" t="n">
        <v>9962</v>
      </c>
      <c r="V32" s="0" t="n">
        <v>9339</v>
      </c>
      <c r="W32" s="0" t="n">
        <v>9198</v>
      </c>
      <c r="X32" s="0" t="n">
        <v>8804</v>
      </c>
      <c r="Y32" s="0" t="n">
        <v>9093</v>
      </c>
      <c r="Z32" s="0" t="n">
        <v>8999</v>
      </c>
      <c r="AA32" s="0" t="n">
        <v>8925</v>
      </c>
    </row>
    <row r="33" customFormat="false" ht="15" hidden="false" customHeight="false" outlineLevel="0" collapsed="false">
      <c r="B33" s="0" t="s">
        <v>23</v>
      </c>
      <c r="C33" s="0" t="n">
        <v>1263</v>
      </c>
      <c r="D33" s="0" t="n">
        <v>1343</v>
      </c>
      <c r="E33" s="0" t="n">
        <v>1441</v>
      </c>
      <c r="F33" s="0" t="n">
        <v>1567</v>
      </c>
      <c r="G33" s="0" t="n">
        <v>1567</v>
      </c>
      <c r="H33" s="0" t="n">
        <v>1463</v>
      </c>
      <c r="I33" s="0" t="n">
        <v>1461</v>
      </c>
      <c r="J33" s="0" t="n">
        <v>1553</v>
      </c>
      <c r="K33" s="0" t="n">
        <v>1493</v>
      </c>
      <c r="L33" s="0" t="n">
        <v>1446</v>
      </c>
      <c r="M33" s="0" t="n">
        <v>1422</v>
      </c>
      <c r="P33" s="0" t="s">
        <v>23</v>
      </c>
      <c r="Q33" s="0" t="n">
        <v>6752</v>
      </c>
      <c r="R33" s="0" t="n">
        <v>6985</v>
      </c>
      <c r="S33" s="0" t="n">
        <v>7119</v>
      </c>
      <c r="T33" s="0" t="n">
        <v>7229</v>
      </c>
      <c r="U33" s="0" t="n">
        <v>6914</v>
      </c>
      <c r="V33" s="0" t="n">
        <v>6153</v>
      </c>
      <c r="W33" s="0" t="n">
        <v>5546</v>
      </c>
      <c r="X33" s="0" t="n">
        <v>5303</v>
      </c>
      <c r="Y33" s="0" t="n">
        <v>4988</v>
      </c>
      <c r="Z33" s="0" t="n">
        <v>4719</v>
      </c>
      <c r="AA33" s="0" t="n">
        <v>4434</v>
      </c>
    </row>
    <row r="34" customFormat="false" ht="15" hidden="false" customHeight="false" outlineLevel="0" collapsed="false">
      <c r="A34" s="0" t="s">
        <v>25</v>
      </c>
      <c r="B34" s="0" t="s">
        <v>17</v>
      </c>
      <c r="C34" s="0" t="n">
        <v>1042</v>
      </c>
      <c r="D34" s="0" t="n">
        <v>1144</v>
      </c>
      <c r="E34" s="0" t="n">
        <v>1259</v>
      </c>
      <c r="F34" s="0" t="n">
        <v>1374</v>
      </c>
      <c r="G34" s="0" t="n">
        <v>1415</v>
      </c>
      <c r="H34" s="0" t="n">
        <v>1427</v>
      </c>
      <c r="I34" s="0" t="n">
        <v>1380</v>
      </c>
      <c r="J34" s="0" t="n">
        <v>1367</v>
      </c>
      <c r="K34" s="0" t="n">
        <v>1418</v>
      </c>
      <c r="L34" s="0" t="n">
        <v>1345</v>
      </c>
      <c r="M34" s="0" t="n">
        <v>1364</v>
      </c>
      <c r="O34" s="0" t="s">
        <v>25</v>
      </c>
      <c r="P34" s="0" t="s">
        <v>17</v>
      </c>
      <c r="Q34" s="0" t="n">
        <v>12573</v>
      </c>
      <c r="R34" s="0" t="n">
        <v>12041</v>
      </c>
      <c r="S34" s="0" t="n">
        <v>11874</v>
      </c>
      <c r="T34" s="0" t="n">
        <v>11818</v>
      </c>
      <c r="U34" s="0" t="n">
        <v>11209</v>
      </c>
      <c r="V34" s="0" t="n">
        <v>10645</v>
      </c>
      <c r="W34" s="0" t="n">
        <v>10116</v>
      </c>
      <c r="X34" s="0" t="n">
        <v>9808</v>
      </c>
      <c r="Y34" s="0" t="n">
        <v>9751</v>
      </c>
      <c r="Z34" s="0" t="n">
        <v>9224</v>
      </c>
      <c r="AA34" s="0" t="n">
        <v>9146</v>
      </c>
    </row>
    <row r="35" customFormat="false" ht="15" hidden="false" customHeight="false" outlineLevel="0" collapsed="false">
      <c r="B35" s="0" t="s">
        <v>19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1</v>
      </c>
      <c r="H35" s="0" t="n">
        <v>1</v>
      </c>
      <c r="I35" s="0" t="n">
        <v>0</v>
      </c>
      <c r="J35" s="0" t="n">
        <v>3</v>
      </c>
      <c r="K35" s="0" t="n">
        <v>3</v>
      </c>
      <c r="L35" s="0" t="n">
        <v>2</v>
      </c>
      <c r="M35" s="0" t="n">
        <v>1</v>
      </c>
      <c r="P35" s="0" t="s">
        <v>19</v>
      </c>
      <c r="Q35" s="0" t="n">
        <v>7</v>
      </c>
      <c r="R35" s="0" t="n">
        <v>2</v>
      </c>
      <c r="S35" s="0" t="n">
        <v>4</v>
      </c>
      <c r="T35" s="0" t="n">
        <v>3</v>
      </c>
      <c r="U35" s="0" t="n">
        <v>5</v>
      </c>
      <c r="V35" s="0" t="n">
        <v>10</v>
      </c>
      <c r="W35" s="0" t="n">
        <v>7</v>
      </c>
      <c r="X35" s="0" t="n">
        <v>12</v>
      </c>
      <c r="Y35" s="0" t="n">
        <v>13</v>
      </c>
      <c r="Z35" s="0" t="n">
        <v>19</v>
      </c>
      <c r="AA35" s="0" t="n">
        <v>12</v>
      </c>
    </row>
    <row r="36" customFormat="false" ht="15" hidden="false" customHeight="false" outlineLevel="0" collapsed="false">
      <c r="B36" s="0" t="s">
        <v>21</v>
      </c>
      <c r="C36" s="0" t="n">
        <v>368</v>
      </c>
      <c r="D36" s="0" t="n">
        <v>402</v>
      </c>
      <c r="E36" s="0" t="n">
        <v>439</v>
      </c>
      <c r="F36" s="0" t="n">
        <v>472</v>
      </c>
      <c r="G36" s="0" t="n">
        <v>486</v>
      </c>
      <c r="H36" s="0" t="n">
        <v>506</v>
      </c>
      <c r="I36" s="0" t="n">
        <v>496</v>
      </c>
      <c r="J36" s="0" t="n">
        <v>505</v>
      </c>
      <c r="K36" s="0" t="n">
        <v>498</v>
      </c>
      <c r="L36" s="0" t="n">
        <v>523</v>
      </c>
      <c r="M36" s="0" t="n">
        <v>536</v>
      </c>
      <c r="P36" s="0" t="s">
        <v>21</v>
      </c>
      <c r="Q36" s="0" t="n">
        <v>8846</v>
      </c>
      <c r="R36" s="0" t="n">
        <v>8043</v>
      </c>
      <c r="S36" s="0" t="n">
        <v>7862</v>
      </c>
      <c r="T36" s="0" t="n">
        <v>7686</v>
      </c>
      <c r="U36" s="0" t="n">
        <v>7191</v>
      </c>
      <c r="V36" s="0" t="n">
        <v>7015</v>
      </c>
      <c r="W36" s="0" t="n">
        <v>6857</v>
      </c>
      <c r="X36" s="0" t="n">
        <v>6700</v>
      </c>
      <c r="Y36" s="0" t="n">
        <v>6679</v>
      </c>
      <c r="Z36" s="0" t="n">
        <v>6523</v>
      </c>
      <c r="AA36" s="0" t="n">
        <v>6643</v>
      </c>
    </row>
    <row r="37" customFormat="false" ht="15" hidden="false" customHeight="false" outlineLevel="0" collapsed="false">
      <c r="B37" s="0" t="s">
        <v>23</v>
      </c>
      <c r="C37" s="0" t="n">
        <v>696</v>
      </c>
      <c r="D37" s="0" t="n">
        <v>754</v>
      </c>
      <c r="E37" s="0" t="n">
        <v>834</v>
      </c>
      <c r="F37" s="0" t="n">
        <v>923</v>
      </c>
      <c r="G37" s="0" t="n">
        <v>942</v>
      </c>
      <c r="H37" s="0" t="n">
        <v>940</v>
      </c>
      <c r="I37" s="0" t="n">
        <v>897</v>
      </c>
      <c r="J37" s="0" t="n">
        <v>878</v>
      </c>
      <c r="K37" s="0" t="n">
        <v>932</v>
      </c>
      <c r="L37" s="0" t="n">
        <v>837</v>
      </c>
      <c r="M37" s="0" t="n">
        <v>838</v>
      </c>
      <c r="P37" s="0" t="s">
        <v>23</v>
      </c>
      <c r="Q37" s="0" t="n">
        <v>4081</v>
      </c>
      <c r="R37" s="0" t="n">
        <v>4334</v>
      </c>
      <c r="S37" s="0" t="n">
        <v>4336</v>
      </c>
      <c r="T37" s="0" t="n">
        <v>4486</v>
      </c>
      <c r="U37" s="0" t="n">
        <v>4361</v>
      </c>
      <c r="V37" s="0" t="n">
        <v>3938</v>
      </c>
      <c r="W37" s="0" t="n">
        <v>3536</v>
      </c>
      <c r="X37" s="0" t="n">
        <v>3366</v>
      </c>
      <c r="Y37" s="0" t="n">
        <v>3309</v>
      </c>
      <c r="Z37" s="0" t="n">
        <v>2915</v>
      </c>
      <c r="AA37" s="0" t="n">
        <v>2719</v>
      </c>
    </row>
    <row r="38" customFormat="false" ht="15" hidden="false" customHeight="false" outlineLevel="0" collapsed="false">
      <c r="A38" s="0" t="s">
        <v>26</v>
      </c>
      <c r="B38" s="0" t="s">
        <v>17</v>
      </c>
      <c r="C38" s="0" t="n">
        <v>630</v>
      </c>
      <c r="D38" s="0" t="n">
        <v>649</v>
      </c>
      <c r="E38" s="0" t="n">
        <v>710</v>
      </c>
      <c r="F38" s="0" t="n">
        <v>734</v>
      </c>
      <c r="G38" s="0" t="n">
        <v>762</v>
      </c>
      <c r="H38" s="0" t="n">
        <v>768</v>
      </c>
      <c r="I38" s="0" t="n">
        <v>713</v>
      </c>
      <c r="J38" s="0" t="n">
        <v>714</v>
      </c>
      <c r="K38" s="0" t="n">
        <v>769</v>
      </c>
      <c r="L38" s="0" t="n">
        <v>737</v>
      </c>
      <c r="M38" s="0" t="n">
        <v>717</v>
      </c>
      <c r="O38" s="0" t="s">
        <v>26</v>
      </c>
      <c r="P38" s="0" t="s">
        <v>17</v>
      </c>
      <c r="Q38" s="0" t="n">
        <v>5654</v>
      </c>
      <c r="R38" s="0" t="n">
        <v>5509</v>
      </c>
      <c r="S38" s="0" t="n">
        <v>5250</v>
      </c>
      <c r="T38" s="0" t="n">
        <v>5099</v>
      </c>
      <c r="U38" s="0" t="n">
        <v>4942</v>
      </c>
      <c r="V38" s="0" t="n">
        <v>4507</v>
      </c>
      <c r="W38" s="0" t="n">
        <v>4268</v>
      </c>
      <c r="X38" s="0" t="n">
        <v>4122</v>
      </c>
      <c r="Y38" s="0" t="n">
        <v>4086</v>
      </c>
      <c r="Z38" s="0" t="n">
        <v>4059</v>
      </c>
      <c r="AA38" s="0" t="n">
        <v>3811</v>
      </c>
    </row>
    <row r="39" customFormat="false" ht="15" hidden="false" customHeight="false" outlineLevel="0" collapsed="false">
      <c r="B39" s="0" t="s">
        <v>19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1</v>
      </c>
      <c r="K39" s="0" t="n">
        <v>1</v>
      </c>
      <c r="L39" s="0" t="n">
        <v>3</v>
      </c>
      <c r="M39" s="0" t="n">
        <v>0</v>
      </c>
      <c r="P39" s="0" t="s">
        <v>19</v>
      </c>
      <c r="Q39" s="0" t="n">
        <v>2</v>
      </c>
      <c r="R39" s="0" t="n">
        <v>4</v>
      </c>
      <c r="S39" s="0" t="n">
        <v>2</v>
      </c>
      <c r="T39" s="0" t="n">
        <v>5</v>
      </c>
      <c r="U39" s="0" t="n">
        <v>4</v>
      </c>
      <c r="V39" s="0" t="n">
        <v>6</v>
      </c>
      <c r="W39" s="0" t="n">
        <v>6</v>
      </c>
      <c r="X39" s="0" t="n">
        <v>2</v>
      </c>
      <c r="Y39" s="0" t="n">
        <v>6</v>
      </c>
      <c r="Z39" s="0" t="n">
        <v>15</v>
      </c>
      <c r="AA39" s="0" t="n">
        <v>7</v>
      </c>
    </row>
    <row r="40" customFormat="false" ht="15" hidden="false" customHeight="false" outlineLevel="0" collapsed="false">
      <c r="B40" s="0" t="s">
        <v>21</v>
      </c>
      <c r="C40" s="0" t="n">
        <v>270</v>
      </c>
      <c r="D40" s="0" t="n">
        <v>251</v>
      </c>
      <c r="E40" s="0" t="n">
        <v>282</v>
      </c>
      <c r="F40" s="0" t="n">
        <v>291</v>
      </c>
      <c r="G40" s="0" t="n">
        <v>283</v>
      </c>
      <c r="H40" s="0" t="n">
        <v>322</v>
      </c>
      <c r="I40" s="0" t="n">
        <v>280</v>
      </c>
      <c r="J40" s="0" t="n">
        <v>262</v>
      </c>
      <c r="K40" s="0" t="n">
        <v>291</v>
      </c>
      <c r="L40" s="0" t="n">
        <v>324</v>
      </c>
      <c r="M40" s="0" t="n">
        <v>299</v>
      </c>
      <c r="P40" s="0" t="s">
        <v>21</v>
      </c>
      <c r="Q40" s="0" t="n">
        <v>3711</v>
      </c>
      <c r="R40" s="0" t="n">
        <v>3556</v>
      </c>
      <c r="S40" s="0" t="n">
        <v>3209</v>
      </c>
      <c r="T40" s="0" t="n">
        <v>3097</v>
      </c>
      <c r="U40" s="0" t="n">
        <v>2986</v>
      </c>
      <c r="V40" s="0" t="n">
        <v>2753</v>
      </c>
      <c r="W40" s="0" t="n">
        <v>2696</v>
      </c>
      <c r="X40" s="0" t="n">
        <v>2585</v>
      </c>
      <c r="Y40" s="0" t="n">
        <v>2621</v>
      </c>
      <c r="Z40" s="0" t="n">
        <v>2744</v>
      </c>
      <c r="AA40" s="0" t="n">
        <v>2590</v>
      </c>
    </row>
    <row r="41" customFormat="false" ht="15" hidden="false" customHeight="false" outlineLevel="0" collapsed="false">
      <c r="B41" s="0" t="s">
        <v>23</v>
      </c>
      <c r="C41" s="0" t="n">
        <v>382</v>
      </c>
      <c r="D41" s="0" t="n">
        <v>408</v>
      </c>
      <c r="E41" s="0" t="n">
        <v>445</v>
      </c>
      <c r="F41" s="0" t="n">
        <v>459</v>
      </c>
      <c r="G41" s="0" t="n">
        <v>494</v>
      </c>
      <c r="H41" s="0" t="n">
        <v>467</v>
      </c>
      <c r="I41" s="0" t="n">
        <v>447</v>
      </c>
      <c r="J41" s="0" t="n">
        <v>464</v>
      </c>
      <c r="K41" s="0" t="n">
        <v>490</v>
      </c>
      <c r="L41" s="0" t="n">
        <v>422</v>
      </c>
      <c r="M41" s="0" t="n">
        <v>430</v>
      </c>
      <c r="P41" s="0" t="s">
        <v>23</v>
      </c>
      <c r="Q41" s="0" t="n">
        <v>2137</v>
      </c>
      <c r="R41" s="0" t="n">
        <v>2124</v>
      </c>
      <c r="S41" s="0" t="n">
        <v>2214</v>
      </c>
      <c r="T41" s="0" t="n">
        <v>2140</v>
      </c>
      <c r="U41" s="0" t="n">
        <v>2116</v>
      </c>
      <c r="V41" s="0" t="n">
        <v>1871</v>
      </c>
      <c r="W41" s="0" t="n">
        <v>1699</v>
      </c>
      <c r="X41" s="0" t="n">
        <v>1663</v>
      </c>
      <c r="Y41" s="0" t="n">
        <v>1564</v>
      </c>
      <c r="Z41" s="0" t="n">
        <v>1416</v>
      </c>
      <c r="AA41" s="0" t="n">
        <v>1301</v>
      </c>
    </row>
    <row r="42" customFormat="false" ht="15" hidden="false" customHeight="false" outlineLevel="0" collapsed="false">
      <c r="A42" s="0" t="s">
        <v>27</v>
      </c>
      <c r="B42" s="0" t="s">
        <v>17</v>
      </c>
      <c r="C42" s="0" t="n">
        <v>96</v>
      </c>
      <c r="D42" s="0" t="n">
        <v>102</v>
      </c>
      <c r="E42" s="0" t="n">
        <v>98</v>
      </c>
      <c r="F42" s="0" t="n">
        <v>139</v>
      </c>
      <c r="G42" s="0" t="n">
        <v>135</v>
      </c>
      <c r="H42" s="0" t="n">
        <v>146</v>
      </c>
      <c r="I42" s="0" t="n">
        <v>131</v>
      </c>
      <c r="J42" s="0" t="n">
        <v>124</v>
      </c>
      <c r="K42" s="0" t="n">
        <v>143</v>
      </c>
      <c r="L42" s="0" t="n">
        <v>169</v>
      </c>
      <c r="M42" s="0" t="n">
        <v>149</v>
      </c>
      <c r="O42" s="0" t="s">
        <v>27</v>
      </c>
      <c r="P42" s="0" t="s">
        <v>17</v>
      </c>
      <c r="Q42" s="0" t="n">
        <v>1549</v>
      </c>
      <c r="R42" s="0" t="n">
        <v>1450</v>
      </c>
      <c r="S42" s="0" t="n">
        <v>1412</v>
      </c>
      <c r="T42" s="0" t="n">
        <v>1318</v>
      </c>
      <c r="U42" s="0" t="n">
        <v>1421</v>
      </c>
      <c r="V42" s="0" t="n">
        <v>1218</v>
      </c>
      <c r="W42" s="0" t="n">
        <v>1210</v>
      </c>
      <c r="X42" s="0" t="n">
        <v>1203</v>
      </c>
      <c r="Y42" s="0" t="n">
        <v>1169</v>
      </c>
      <c r="Z42" s="0" t="n">
        <v>1150</v>
      </c>
      <c r="AA42" s="0" t="n">
        <v>1079</v>
      </c>
    </row>
    <row r="43" customFormat="false" ht="15" hidden="false" customHeight="false" outlineLevel="0" collapsed="false">
      <c r="B43" s="0" t="s">
        <v>19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1</v>
      </c>
      <c r="M43" s="0" t="n">
        <v>1</v>
      </c>
      <c r="P43" s="0" t="s">
        <v>19</v>
      </c>
      <c r="Q43" s="0" t="n">
        <v>3</v>
      </c>
      <c r="R43" s="0" t="n">
        <v>1</v>
      </c>
      <c r="S43" s="0" t="n">
        <v>1</v>
      </c>
      <c r="T43" s="0" t="n">
        <v>2</v>
      </c>
      <c r="U43" s="0" t="n">
        <v>0</v>
      </c>
      <c r="V43" s="0" t="n">
        <v>1</v>
      </c>
      <c r="W43" s="0" t="n">
        <v>2</v>
      </c>
      <c r="X43" s="0" t="n">
        <v>0</v>
      </c>
      <c r="Y43" s="0" t="n">
        <v>2</v>
      </c>
      <c r="Z43" s="0" t="n">
        <v>1</v>
      </c>
      <c r="AA43" s="0" t="n">
        <v>2</v>
      </c>
    </row>
    <row r="44" customFormat="false" ht="15" hidden="false" customHeight="false" outlineLevel="0" collapsed="false">
      <c r="B44" s="0" t="s">
        <v>21</v>
      </c>
      <c r="C44" s="0" t="n">
        <v>34</v>
      </c>
      <c r="D44" s="0" t="n">
        <v>35</v>
      </c>
      <c r="E44" s="0" t="n">
        <v>30</v>
      </c>
      <c r="F44" s="0" t="n">
        <v>42</v>
      </c>
      <c r="G44" s="0" t="n">
        <v>44</v>
      </c>
      <c r="H44" s="0" t="n">
        <v>46</v>
      </c>
      <c r="I44" s="0" t="n">
        <v>45</v>
      </c>
      <c r="J44" s="0" t="n">
        <v>42</v>
      </c>
      <c r="K44" s="0" t="n">
        <v>49</v>
      </c>
      <c r="L44" s="0" t="n">
        <v>62</v>
      </c>
      <c r="M44" s="0" t="n">
        <v>56</v>
      </c>
      <c r="P44" s="0" t="s">
        <v>21</v>
      </c>
      <c r="Q44" s="0" t="n">
        <v>1221</v>
      </c>
      <c r="R44" s="0" t="n">
        <v>1070</v>
      </c>
      <c r="S44" s="0" t="n">
        <v>997</v>
      </c>
      <c r="T44" s="0" t="n">
        <v>911</v>
      </c>
      <c r="U44" s="0" t="n">
        <v>1012</v>
      </c>
      <c r="V44" s="0" t="n">
        <v>838</v>
      </c>
      <c r="W44" s="0" t="n">
        <v>864</v>
      </c>
      <c r="X44" s="0" t="n">
        <v>883</v>
      </c>
      <c r="Y44" s="0" t="n">
        <v>877</v>
      </c>
      <c r="Z44" s="0" t="n">
        <v>867</v>
      </c>
      <c r="AA44" s="0" t="n">
        <v>828</v>
      </c>
    </row>
    <row r="45" customFormat="false" ht="15" hidden="false" customHeight="false" outlineLevel="0" collapsed="false">
      <c r="B45" s="0" t="s">
        <v>23</v>
      </c>
      <c r="C45" s="0" t="n">
        <v>66</v>
      </c>
      <c r="D45" s="0" t="n">
        <v>67</v>
      </c>
      <c r="E45" s="0" t="n">
        <v>69</v>
      </c>
      <c r="F45" s="0" t="n">
        <v>98</v>
      </c>
      <c r="G45" s="0" t="n">
        <v>92</v>
      </c>
      <c r="H45" s="0" t="n">
        <v>101</v>
      </c>
      <c r="I45" s="0" t="n">
        <v>88</v>
      </c>
      <c r="J45" s="0" t="n">
        <v>84</v>
      </c>
      <c r="K45" s="0" t="n">
        <v>94</v>
      </c>
      <c r="L45" s="0" t="n">
        <v>107</v>
      </c>
      <c r="M45" s="0" t="n">
        <v>93</v>
      </c>
      <c r="P45" s="0" t="s">
        <v>23</v>
      </c>
      <c r="Q45" s="0" t="n">
        <v>365</v>
      </c>
      <c r="R45" s="0" t="n">
        <v>410</v>
      </c>
      <c r="S45" s="0" t="n">
        <v>450</v>
      </c>
      <c r="T45" s="0" t="n">
        <v>446</v>
      </c>
      <c r="U45" s="0" t="n">
        <v>453</v>
      </c>
      <c r="V45" s="0" t="n">
        <v>416</v>
      </c>
      <c r="W45" s="0" t="n">
        <v>381</v>
      </c>
      <c r="X45" s="0" t="n">
        <v>357</v>
      </c>
      <c r="Y45" s="0" t="n">
        <v>316</v>
      </c>
      <c r="Z45" s="0" t="n">
        <v>299</v>
      </c>
      <c r="AA45" s="0" t="n">
        <v>282</v>
      </c>
    </row>
    <row r="47" customFormat="false" ht="15" hidden="false" customHeight="false" outlineLevel="0" collapsed="false">
      <c r="A47" s="4" t="s">
        <v>31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O47" s="1" t="s">
        <v>32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customFormat="false" ht="15" hidden="false" customHeight="false" outlineLevel="0" collapsed="false">
      <c r="A48" s="0" t="s">
        <v>2</v>
      </c>
      <c r="B48" s="0" t="s">
        <v>3</v>
      </c>
      <c r="C48" s="0" t="s">
        <v>4</v>
      </c>
      <c r="D48" s="0" t="s">
        <v>5</v>
      </c>
      <c r="E48" s="0" t="s">
        <v>6</v>
      </c>
      <c r="F48" s="0" t="s">
        <v>7</v>
      </c>
      <c r="G48" s="0" t="s">
        <v>8</v>
      </c>
      <c r="H48" s="0" t="s">
        <v>9</v>
      </c>
      <c r="I48" s="0" t="s">
        <v>10</v>
      </c>
      <c r="J48" s="0" t="s">
        <v>11</v>
      </c>
      <c r="K48" s="0" t="s">
        <v>12</v>
      </c>
      <c r="L48" s="0" t="s">
        <v>13</v>
      </c>
      <c r="M48" s="0" t="s">
        <v>14</v>
      </c>
      <c r="O48" s="2" t="s">
        <v>2</v>
      </c>
      <c r="P48" s="2" t="s">
        <v>3</v>
      </c>
      <c r="Q48" s="2" t="s">
        <v>4</v>
      </c>
      <c r="R48" s="2" t="s">
        <v>5</v>
      </c>
      <c r="S48" s="2" t="s">
        <v>6</v>
      </c>
      <c r="T48" s="2" t="s">
        <v>7</v>
      </c>
      <c r="U48" s="2" t="s">
        <v>8</v>
      </c>
      <c r="V48" s="2" t="s">
        <v>9</v>
      </c>
      <c r="W48" s="2" t="s">
        <v>10</v>
      </c>
      <c r="X48" s="2" t="s">
        <v>11</v>
      </c>
      <c r="Y48" s="2" t="s">
        <v>12</v>
      </c>
      <c r="Z48" s="2" t="s">
        <v>13</v>
      </c>
      <c r="AA48" s="2" t="s">
        <v>14</v>
      </c>
    </row>
    <row r="49" customFormat="false" ht="15" hidden="false" customHeight="false" outlineLevel="0" collapsed="false">
      <c r="A49" s="0" t="s">
        <v>16</v>
      </c>
      <c r="B49" s="0" t="s">
        <v>17</v>
      </c>
      <c r="C49" s="0" t="n">
        <v>23401</v>
      </c>
      <c r="D49" s="0" t="n">
        <v>21167</v>
      </c>
      <c r="E49" s="0" t="n">
        <v>19849</v>
      </c>
      <c r="F49" s="0" t="n">
        <v>19060</v>
      </c>
      <c r="G49" s="0" t="n">
        <v>17878</v>
      </c>
      <c r="H49" s="0" t="n">
        <v>17108</v>
      </c>
      <c r="I49" s="0" t="n">
        <v>16896</v>
      </c>
      <c r="J49" s="0" t="n">
        <v>16487</v>
      </c>
      <c r="K49" s="0" t="n">
        <v>16816</v>
      </c>
      <c r="L49" s="0" t="n">
        <v>16900</v>
      </c>
      <c r="M49" s="0" t="n">
        <v>16829</v>
      </c>
      <c r="O49" s="0" t="s">
        <v>16</v>
      </c>
      <c r="P49" s="0" t="s">
        <v>17</v>
      </c>
      <c r="Q49" s="0" t="n">
        <f aca="false">Q26-C26-Tabella7[[#This Row],[2019]]</f>
        <v>10937</v>
      </c>
      <c r="R49" s="0" t="n">
        <f aca="false">R26-D26-Tabella7[[#This Row],[2018]]</f>
        <v>11346</v>
      </c>
      <c r="S49" s="0" t="n">
        <f aca="false">S26-E26-Tabella7[[#This Row],[2017]]</f>
        <v>11659</v>
      </c>
      <c r="T49" s="0" t="n">
        <f aca="false">T26-F26-Tabella7[[#This Row],[2016]]</f>
        <v>11504</v>
      </c>
      <c r="U49" s="0" t="n">
        <f aca="false">U26-G26-Tabella7[[#This Row],[2015]]</f>
        <v>11290</v>
      </c>
      <c r="V49" s="0" t="n">
        <f aca="false">V26-H26-Tabella7[[#This Row],[2014]]</f>
        <v>9543</v>
      </c>
      <c r="W49" s="0" t="n">
        <f aca="false">W26-I26-Tabella7[[#This Row],[2013]]</f>
        <v>8418</v>
      </c>
      <c r="X49" s="0" t="n">
        <f aca="false">X26-J26-Tabella7[[#This Row],[2012]]</f>
        <v>7759</v>
      </c>
      <c r="Y49" s="0" t="n">
        <f aca="false">Y26-K26-Tabella7[[#This Row],[2011]]</f>
        <v>7106</v>
      </c>
      <c r="Z49" s="0" t="n">
        <f aca="false">Z26-L26-Tabella7[[#This Row],[2010]]</f>
        <v>6224</v>
      </c>
      <c r="AA49" s="0" t="n">
        <f aca="false">AA26-M26-Tabella7[[#This Row],[2009]]</f>
        <v>5587</v>
      </c>
    </row>
    <row r="50" customFormat="false" ht="15" hidden="false" customHeight="false" outlineLevel="0" collapsed="false">
      <c r="B50" s="0" t="s">
        <v>19</v>
      </c>
      <c r="C50" s="0" t="n">
        <v>17</v>
      </c>
      <c r="D50" s="0" t="n">
        <v>13</v>
      </c>
      <c r="E50" s="0" t="n">
        <v>11</v>
      </c>
      <c r="F50" s="0" t="n">
        <v>18</v>
      </c>
      <c r="G50" s="0" t="n">
        <v>16</v>
      </c>
      <c r="H50" s="0" t="n">
        <v>24</v>
      </c>
      <c r="I50" s="0" t="n">
        <v>28</v>
      </c>
      <c r="J50" s="0" t="n">
        <v>17</v>
      </c>
      <c r="K50" s="0" t="n">
        <v>32</v>
      </c>
      <c r="L50" s="0" t="n">
        <v>36</v>
      </c>
      <c r="M50" s="0" t="n">
        <v>40</v>
      </c>
      <c r="P50" s="0" t="s">
        <v>19</v>
      </c>
      <c r="Q50" s="0" t="n">
        <f aca="false">Q27-C27-Tabella7[[#This Row],[2019]]</f>
        <v>2</v>
      </c>
      <c r="R50" s="0" t="n">
        <f aca="false">R27-D27-Tabella7[[#This Row],[2018]]</f>
        <v>1</v>
      </c>
      <c r="S50" s="0" t="n">
        <f aca="false">S27-E27-Tabella7[[#This Row],[2017]]</f>
        <v>2</v>
      </c>
      <c r="T50" s="0" t="n">
        <f aca="false">T27-F27-Tabella7[[#This Row],[2016]]</f>
        <v>8</v>
      </c>
      <c r="U50" s="0" t="n">
        <f aca="false">U27-G27-Tabella7[[#This Row],[2015]]</f>
        <v>2</v>
      </c>
      <c r="V50" s="0" t="n">
        <f aca="false">V27-H27-Tabella7[[#This Row],[2014]]</f>
        <v>5</v>
      </c>
      <c r="W50" s="0" t="n">
        <f aca="false">W27-I27-Tabella7[[#This Row],[2013]]</f>
        <v>4</v>
      </c>
      <c r="X50" s="0" t="n">
        <f aca="false">X27-J27-Tabella7[[#This Row],[2012]]</f>
        <v>3</v>
      </c>
      <c r="Y50" s="0" t="n">
        <f aca="false">Y27-K27-Tabella7[[#This Row],[2011]]</f>
        <v>8</v>
      </c>
      <c r="Z50" s="0" t="n">
        <f aca="false">Z27-L27-Tabella7[[#This Row],[2010]]</f>
        <v>9</v>
      </c>
      <c r="AA50" s="0" t="n">
        <f aca="false">AA27-M27-Tabella7[[#This Row],[2009]]</f>
        <v>12</v>
      </c>
    </row>
    <row r="51" customFormat="false" ht="15" hidden="false" customHeight="false" outlineLevel="0" collapsed="false">
      <c r="B51" s="0" t="s">
        <v>21</v>
      </c>
      <c r="C51" s="0" t="n">
        <v>21491</v>
      </c>
      <c r="D51" s="0" t="n">
        <v>19341</v>
      </c>
      <c r="E51" s="0" t="n">
        <v>18152</v>
      </c>
      <c r="F51" s="0" t="n">
        <v>17437</v>
      </c>
      <c r="G51" s="0" t="n">
        <v>16351</v>
      </c>
      <c r="H51" s="0" t="n">
        <v>15445</v>
      </c>
      <c r="I51" s="0" t="n">
        <v>15123</v>
      </c>
      <c r="J51" s="0" t="n">
        <v>14743</v>
      </c>
      <c r="K51" s="0" t="n">
        <v>14898</v>
      </c>
      <c r="L51" s="0" t="n">
        <v>14734</v>
      </c>
      <c r="M51" s="0" t="n">
        <v>14626</v>
      </c>
      <c r="P51" s="0" t="s">
        <v>21</v>
      </c>
      <c r="Q51" s="0" t="n">
        <f aca="false">Q28-C28-Tabella7[[#This Row],[2019]]</f>
        <v>2993</v>
      </c>
      <c r="R51" s="0" t="n">
        <f aca="false">R28-D28-Tabella7[[#This Row],[2018]]</f>
        <v>2919</v>
      </c>
      <c r="S51" s="0" t="n">
        <f aca="false">S28-E28-Tabella7[[#This Row],[2017]]</f>
        <v>3011</v>
      </c>
      <c r="T51" s="0" t="n">
        <f aca="false">T28-F28-Tabella7[[#This Row],[2016]]</f>
        <v>2841</v>
      </c>
      <c r="U51" s="0" t="n">
        <f aca="false">U28-G28-Tabella7[[#This Row],[2015]]</f>
        <v>3033</v>
      </c>
      <c r="V51" s="0" t="n">
        <f aca="false">V28-H28-Tabella7[[#This Row],[2014]]</f>
        <v>2638</v>
      </c>
      <c r="W51" s="0" t="n">
        <f aca="false">W28-I28-Tabella7[[#This Row],[2013]]</f>
        <v>2709</v>
      </c>
      <c r="X51" s="0" t="n">
        <f aca="false">X28-J28-Tabella7[[#This Row],[2012]]</f>
        <v>2511</v>
      </c>
      <c r="Y51" s="0" t="n">
        <f aca="false">Y28-K28-Tabella7[[#This Row],[2011]]</f>
        <v>2522</v>
      </c>
      <c r="Z51" s="0" t="n">
        <f aca="false">Z28-L28-Tabella7[[#This Row],[2010]]</f>
        <v>2471</v>
      </c>
      <c r="AA51" s="0" t="n">
        <f aca="false">AA28-M28-Tabella7[[#This Row],[2009]]</f>
        <v>2405</v>
      </c>
    </row>
    <row r="52" customFormat="false" ht="15" hidden="false" customHeight="false" outlineLevel="0" collapsed="false">
      <c r="B52" s="0" t="s">
        <v>23</v>
      </c>
      <c r="C52" s="0" t="n">
        <v>1793</v>
      </c>
      <c r="D52" s="0" t="n">
        <v>1717</v>
      </c>
      <c r="E52" s="0" t="n">
        <v>1586</v>
      </c>
      <c r="F52" s="0" t="n">
        <v>1501</v>
      </c>
      <c r="G52" s="0" t="n">
        <v>1389</v>
      </c>
      <c r="H52" s="0" t="n">
        <v>1290</v>
      </c>
      <c r="I52" s="0" t="n">
        <v>1178</v>
      </c>
      <c r="J52" s="0" t="n">
        <v>1104</v>
      </c>
      <c r="K52" s="0" t="n">
        <v>1151</v>
      </c>
      <c r="L52" s="0" t="n">
        <v>1156</v>
      </c>
      <c r="M52" s="0" t="n">
        <v>985</v>
      </c>
      <c r="P52" s="0" t="s">
        <v>23</v>
      </c>
      <c r="Q52" s="0" t="n">
        <f aca="false">Q29-C29-Tabella7[[#This Row],[2019]]</f>
        <v>9135</v>
      </c>
      <c r="R52" s="0" t="n">
        <f aca="false">R29-D29-Tabella7[[#This Row],[2018]]</f>
        <v>9563</v>
      </c>
      <c r="S52" s="0" t="n">
        <f aca="false">S29-E29-Tabella7[[#This Row],[2017]]</f>
        <v>9744</v>
      </c>
      <c r="T52" s="0" t="n">
        <f aca="false">T29-F29-Tabella7[[#This Row],[2016]]</f>
        <v>9753</v>
      </c>
      <c r="U52" s="0" t="n">
        <f aca="false">U29-G29-Tabella7[[#This Row],[2015]]</f>
        <v>9360</v>
      </c>
      <c r="V52" s="0" t="n">
        <f aca="false">V29-H29-Tabella7[[#This Row],[2014]]</f>
        <v>8117</v>
      </c>
      <c r="W52" s="0" t="n">
        <f aca="false">W29-I29-Tabella7[[#This Row],[2013]]</f>
        <v>7091</v>
      </c>
      <c r="X52" s="0" t="n">
        <f aca="false">X29-J29-Tabella7[[#This Row],[2012]]</f>
        <v>6606</v>
      </c>
      <c r="Y52" s="0" t="n">
        <f aca="false">Y29-K29-Tabella7[[#This Row],[2011]]</f>
        <v>6017</v>
      </c>
      <c r="Z52" s="0" t="n">
        <f aca="false">Z29-L29-Tabella7[[#This Row],[2010]]</f>
        <v>5381</v>
      </c>
      <c r="AA52" s="0" t="n">
        <f aca="false">AA29-M29-Tabella7[[#This Row],[2009]]</f>
        <v>4968</v>
      </c>
    </row>
    <row r="53" customFormat="false" ht="15" hidden="false" customHeight="false" outlineLevel="0" collapsed="false">
      <c r="A53" s="0" t="s">
        <v>24</v>
      </c>
      <c r="B53" s="0" t="s">
        <v>17</v>
      </c>
      <c r="C53" s="0" t="n">
        <v>10616</v>
      </c>
      <c r="D53" s="0" t="n">
        <v>9523</v>
      </c>
      <c r="E53" s="0" t="n">
        <v>8995</v>
      </c>
      <c r="F53" s="0" t="n">
        <v>8612</v>
      </c>
      <c r="G53" s="0" t="n">
        <v>8088</v>
      </c>
      <c r="H53" s="0" t="n">
        <v>7659</v>
      </c>
      <c r="I53" s="0" t="n">
        <v>7631</v>
      </c>
      <c r="J53" s="0" t="n">
        <v>7314</v>
      </c>
      <c r="K53" s="0" t="n">
        <v>7606</v>
      </c>
      <c r="L53" s="0" t="n">
        <v>7637</v>
      </c>
      <c r="M53" s="0" t="n">
        <v>7604</v>
      </c>
      <c r="O53" s="0" t="s">
        <v>24</v>
      </c>
      <c r="P53" s="0" t="s">
        <v>17</v>
      </c>
      <c r="Q53" s="0" t="n">
        <f aca="false">Q30-C30-Tabella7[[#This Row],[2019]]</f>
        <v>5714</v>
      </c>
      <c r="R53" s="0" t="n">
        <f aca="false">R30-D30-Tabella7[[#This Row],[2018]]</f>
        <v>5886</v>
      </c>
      <c r="S53" s="0" t="n">
        <f aca="false">S30-E30-Tabella7[[#This Row],[2017]]</f>
        <v>6044</v>
      </c>
      <c r="T53" s="0" t="n">
        <f aca="false">T30-F30-Tabella7[[#This Row],[2016]]</f>
        <v>5964</v>
      </c>
      <c r="U53" s="0" t="n">
        <f aca="false">U30-G30-Tabella7[[#This Row],[2015]]</f>
        <v>5820</v>
      </c>
      <c r="V53" s="0" t="n">
        <f aca="false">V30-H30-Tabella7[[#This Row],[2014]]</f>
        <v>4963</v>
      </c>
      <c r="W53" s="0" t="n">
        <f aca="false">W30-I30-Tabella7[[#This Row],[2013]]</f>
        <v>4313</v>
      </c>
      <c r="X53" s="0" t="n">
        <f aca="false">X30-J30-Tabella7[[#This Row],[2012]]</f>
        <v>4005</v>
      </c>
      <c r="Y53" s="0" t="n">
        <f aca="false">Y30-K30-Tabella7[[#This Row],[2011]]</f>
        <v>3642</v>
      </c>
      <c r="Z53" s="0" t="n">
        <f aca="false">Z30-L30-Tabella7[[#This Row],[2010]]</f>
        <v>3305</v>
      </c>
      <c r="AA53" s="0" t="n">
        <f aca="false">AA30-M30-Tabella7[[#This Row],[2009]]</f>
        <v>3006</v>
      </c>
    </row>
    <row r="54" customFormat="false" ht="15" hidden="false" customHeight="false" outlineLevel="0" collapsed="false">
      <c r="B54" s="0" t="s">
        <v>19</v>
      </c>
      <c r="C54" s="0" t="n">
        <v>7</v>
      </c>
      <c r="D54" s="0" t="n">
        <v>7</v>
      </c>
      <c r="E54" s="0" t="n">
        <v>4</v>
      </c>
      <c r="F54" s="0" t="n">
        <v>11</v>
      </c>
      <c r="G54" s="0" t="n">
        <v>8</v>
      </c>
      <c r="H54" s="0" t="n">
        <v>8</v>
      </c>
      <c r="I54" s="0" t="n">
        <v>17</v>
      </c>
      <c r="J54" s="0" t="n">
        <v>8</v>
      </c>
      <c r="K54" s="0" t="n">
        <v>18</v>
      </c>
      <c r="L54" s="0" t="n">
        <v>12</v>
      </c>
      <c r="M54" s="0" t="n">
        <v>23</v>
      </c>
      <c r="P54" s="0" t="s">
        <v>19</v>
      </c>
      <c r="Q54" s="0" t="n">
        <f aca="false">Q31-C31-Tabella7[[#This Row],[2019]]</f>
        <v>0</v>
      </c>
      <c r="R54" s="0" t="n">
        <f aca="false">R31-D31-Tabella7[[#This Row],[2018]]</f>
        <v>0</v>
      </c>
      <c r="S54" s="0" t="n">
        <f aca="false">S31-E31-Tabella7[[#This Row],[2017]]</f>
        <v>2</v>
      </c>
      <c r="T54" s="0" t="n">
        <f aca="false">T31-F31-Tabella7[[#This Row],[2016]]</f>
        <v>5</v>
      </c>
      <c r="U54" s="0" t="n">
        <f aca="false">U31-G31-Tabella7[[#This Row],[2015]]</f>
        <v>2</v>
      </c>
      <c r="V54" s="0" t="n">
        <f aca="false">V31-H31-Tabella7[[#This Row],[2014]]</f>
        <v>5</v>
      </c>
      <c r="W54" s="0" t="n">
        <f aca="false">W31-I31-Tabella7[[#This Row],[2013]]</f>
        <v>0</v>
      </c>
      <c r="X54" s="0" t="n">
        <f aca="false">X31-J31-Tabella7[[#This Row],[2012]]</f>
        <v>2</v>
      </c>
      <c r="Y54" s="0" t="n">
        <f aca="false">Y31-K31-Tabella7[[#This Row],[2011]]</f>
        <v>5</v>
      </c>
      <c r="Z54" s="0" t="n">
        <f aca="false">Z31-L31-Tabella7[[#This Row],[2010]]</f>
        <v>4</v>
      </c>
      <c r="AA54" s="0" t="n">
        <f aca="false">AA31-M31-Tabella7[[#This Row],[2009]]</f>
        <v>10</v>
      </c>
    </row>
    <row r="55" customFormat="false" ht="15" hidden="false" customHeight="false" outlineLevel="0" collapsed="false">
      <c r="B55" s="0" t="s">
        <v>21</v>
      </c>
      <c r="C55" s="0" t="n">
        <v>9814</v>
      </c>
      <c r="D55" s="0" t="n">
        <v>8761</v>
      </c>
      <c r="E55" s="0" t="n">
        <v>8280</v>
      </c>
      <c r="F55" s="0" t="n">
        <v>7896</v>
      </c>
      <c r="G55" s="0" t="n">
        <v>7427</v>
      </c>
      <c r="H55" s="0" t="n">
        <v>6944</v>
      </c>
      <c r="I55" s="0" t="n">
        <v>6876</v>
      </c>
      <c r="J55" s="0" t="n">
        <v>6588</v>
      </c>
      <c r="K55" s="0" t="n">
        <v>6785</v>
      </c>
      <c r="L55" s="0" t="n">
        <v>6679</v>
      </c>
      <c r="M55" s="0" t="n">
        <v>6642</v>
      </c>
      <c r="P55" s="0" t="s">
        <v>21</v>
      </c>
      <c r="Q55" s="0" t="n">
        <f aca="false">Q32-C32-Tabella7[[#This Row],[2019]]</f>
        <v>1564</v>
      </c>
      <c r="R55" s="0" t="n">
        <f aca="false">R32-D32-Tabella7[[#This Row],[2018]]</f>
        <v>1518</v>
      </c>
      <c r="S55" s="0" t="n">
        <f aca="false">S32-E32-Tabella7[[#This Row],[2017]]</f>
        <v>1566</v>
      </c>
      <c r="T55" s="0" t="n">
        <f aca="false">T32-F32-Tabella7[[#This Row],[2016]]</f>
        <v>1493</v>
      </c>
      <c r="U55" s="0" t="n">
        <f aca="false">U32-G32-Tabella7[[#This Row],[2015]]</f>
        <v>1581</v>
      </c>
      <c r="V55" s="0" t="n">
        <f aca="false">V32-H32-Tabella7[[#This Row],[2014]]</f>
        <v>1407</v>
      </c>
      <c r="W55" s="0" t="n">
        <f aca="false">W32-I32-Tabella7[[#This Row],[2013]]</f>
        <v>1360</v>
      </c>
      <c r="X55" s="0" t="n">
        <f aca="false">X32-J32-Tabella7[[#This Row],[2012]]</f>
        <v>1307</v>
      </c>
      <c r="Y55" s="0" t="n">
        <f aca="false">Y32-K32-Tabella7[[#This Row],[2011]]</f>
        <v>1298</v>
      </c>
      <c r="Z55" s="0" t="n">
        <f aca="false">Z32-L32-Tabella7[[#This Row],[2010]]</f>
        <v>1301</v>
      </c>
      <c r="AA55" s="0" t="n">
        <f aca="false">AA32-M32-Tabella7[[#This Row],[2009]]</f>
        <v>1219</v>
      </c>
    </row>
    <row r="56" customFormat="false" ht="15" hidden="false" customHeight="false" outlineLevel="0" collapsed="false">
      <c r="B56" s="0" t="s">
        <v>23</v>
      </c>
      <c r="C56" s="0" t="n">
        <v>753</v>
      </c>
      <c r="D56" s="0" t="n">
        <v>717</v>
      </c>
      <c r="E56" s="0" t="n">
        <v>670</v>
      </c>
      <c r="F56" s="0" t="n">
        <v>663</v>
      </c>
      <c r="G56" s="0" t="n">
        <v>592</v>
      </c>
      <c r="H56" s="0" t="n">
        <v>548</v>
      </c>
      <c r="I56" s="0" t="n">
        <v>508</v>
      </c>
      <c r="J56" s="0" t="n">
        <v>441</v>
      </c>
      <c r="K56" s="0" t="n">
        <v>482</v>
      </c>
      <c r="L56" s="0" t="n">
        <v>516</v>
      </c>
      <c r="M56" s="0" t="n">
        <v>436</v>
      </c>
      <c r="P56" s="0" t="s">
        <v>23</v>
      </c>
      <c r="Q56" s="0" t="n">
        <f aca="false">Q33-C33-Tabella7[[#This Row],[2019]]</f>
        <v>4736</v>
      </c>
      <c r="R56" s="0" t="n">
        <f aca="false">R33-D33-Tabella7[[#This Row],[2018]]</f>
        <v>4925</v>
      </c>
      <c r="S56" s="0" t="n">
        <f aca="false">S33-E33-Tabella7[[#This Row],[2017]]</f>
        <v>5008</v>
      </c>
      <c r="T56" s="0" t="n">
        <f aca="false">T33-F33-Tabella7[[#This Row],[2016]]</f>
        <v>4999</v>
      </c>
      <c r="U56" s="0" t="n">
        <f aca="false">U33-G33-Tabella7[[#This Row],[2015]]</f>
        <v>4755</v>
      </c>
      <c r="V56" s="0" t="n">
        <f aca="false">V33-H33-Tabella7[[#This Row],[2014]]</f>
        <v>4142</v>
      </c>
      <c r="W56" s="0" t="n">
        <f aca="false">W33-I33-Tabella7[[#This Row],[2013]]</f>
        <v>3577</v>
      </c>
      <c r="X56" s="0" t="n">
        <f aca="false">X33-J33-Tabella7[[#This Row],[2012]]</f>
        <v>3309</v>
      </c>
      <c r="Y56" s="0" t="n">
        <f aca="false">Y33-K33-Tabella7[[#This Row],[2011]]</f>
        <v>3013</v>
      </c>
      <c r="Z56" s="0" t="n">
        <f aca="false">Z33-L33-Tabella7[[#This Row],[2010]]</f>
        <v>2757</v>
      </c>
      <c r="AA56" s="0" t="n">
        <f aca="false">AA33-M33-Tabella7[[#This Row],[2009]]</f>
        <v>2576</v>
      </c>
    </row>
    <row r="57" customFormat="false" ht="15" hidden="false" customHeight="false" outlineLevel="0" collapsed="false">
      <c r="A57" s="0" t="s">
        <v>25</v>
      </c>
      <c r="B57" s="0" t="s">
        <v>17</v>
      </c>
      <c r="C57" s="0" t="n">
        <v>8372</v>
      </c>
      <c r="D57" s="0" t="n">
        <v>7553</v>
      </c>
      <c r="E57" s="0" t="n">
        <v>7214</v>
      </c>
      <c r="F57" s="0" t="n">
        <v>7001</v>
      </c>
      <c r="G57" s="0" t="n">
        <v>6470</v>
      </c>
      <c r="H57" s="0" t="n">
        <v>6364</v>
      </c>
      <c r="I57" s="0" t="n">
        <v>6254</v>
      </c>
      <c r="J57" s="0" t="n">
        <v>6150</v>
      </c>
      <c r="K57" s="0" t="n">
        <v>6227</v>
      </c>
      <c r="L57" s="0" t="n">
        <v>6124</v>
      </c>
      <c r="M57" s="0" t="n">
        <v>6236</v>
      </c>
      <c r="O57" s="0" t="s">
        <v>25</v>
      </c>
      <c r="P57" s="0" t="s">
        <v>17</v>
      </c>
      <c r="Q57" s="0" t="n">
        <f aca="false">Q34-C34-Tabella7[[#This Row],[2019]]</f>
        <v>3159</v>
      </c>
      <c r="R57" s="0" t="n">
        <f aca="false">R34-D34-Tabella7[[#This Row],[2018]]</f>
        <v>3344</v>
      </c>
      <c r="S57" s="0" t="n">
        <f aca="false">S34-E34-Tabella7[[#This Row],[2017]]</f>
        <v>3401</v>
      </c>
      <c r="T57" s="0" t="n">
        <f aca="false">T34-F34-Tabella7[[#This Row],[2016]]</f>
        <v>3443</v>
      </c>
      <c r="U57" s="0" t="n">
        <f aca="false">U34-G34-Tabella7[[#This Row],[2015]]</f>
        <v>3324</v>
      </c>
      <c r="V57" s="0" t="n">
        <f aca="false">V34-H34-Tabella7[[#This Row],[2014]]</f>
        <v>2854</v>
      </c>
      <c r="W57" s="0" t="n">
        <f aca="false">W34-I34-Tabella7[[#This Row],[2013]]</f>
        <v>2482</v>
      </c>
      <c r="X57" s="0" t="n">
        <f aca="false">X34-J34-Tabella7[[#This Row],[2012]]</f>
        <v>2291</v>
      </c>
      <c r="Y57" s="0" t="n">
        <f aca="false">Y34-K34-Tabella7[[#This Row],[2011]]</f>
        <v>2106</v>
      </c>
      <c r="Z57" s="0" t="n">
        <f aca="false">Z34-L34-Tabella7[[#This Row],[2010]]</f>
        <v>1755</v>
      </c>
      <c r="AA57" s="0" t="n">
        <f aca="false">AA34-M34-Tabella7[[#This Row],[2009]]</f>
        <v>1546</v>
      </c>
    </row>
    <row r="58" customFormat="false" ht="15" hidden="false" customHeight="false" outlineLevel="0" collapsed="false">
      <c r="B58" s="0" t="s">
        <v>19</v>
      </c>
      <c r="C58" s="0" t="n">
        <v>5</v>
      </c>
      <c r="D58" s="0" t="n">
        <v>2</v>
      </c>
      <c r="E58" s="0" t="n">
        <v>4</v>
      </c>
      <c r="F58" s="0" t="n">
        <v>2</v>
      </c>
      <c r="G58" s="0" t="n">
        <v>4</v>
      </c>
      <c r="H58" s="0" t="n">
        <v>9</v>
      </c>
      <c r="I58" s="0" t="n">
        <v>4</v>
      </c>
      <c r="J58" s="0" t="n">
        <v>8</v>
      </c>
      <c r="K58" s="0" t="n">
        <v>8</v>
      </c>
      <c r="L58" s="0" t="n">
        <v>14</v>
      </c>
      <c r="M58" s="0" t="n">
        <v>10</v>
      </c>
      <c r="P58" s="0" t="s">
        <v>19</v>
      </c>
      <c r="Q58" s="0" t="n">
        <f aca="false">Q35-C35-Tabella7[[#This Row],[2019]]</f>
        <v>2</v>
      </c>
      <c r="R58" s="0" t="n">
        <f aca="false">R35-D35-Tabella7[[#This Row],[2018]]</f>
        <v>0</v>
      </c>
      <c r="S58" s="0" t="n">
        <f aca="false">S35-E35-Tabella7[[#This Row],[2017]]</f>
        <v>0</v>
      </c>
      <c r="T58" s="0" t="n">
        <f aca="false">T35-F35-Tabella7[[#This Row],[2016]]</f>
        <v>1</v>
      </c>
      <c r="U58" s="0" t="n">
        <f aca="false">U35-G35-Tabella7[[#This Row],[2015]]</f>
        <v>0</v>
      </c>
      <c r="V58" s="0" t="n">
        <f aca="false">V35-H35-Tabella7[[#This Row],[2014]]</f>
        <v>0</v>
      </c>
      <c r="W58" s="0" t="n">
        <f aca="false">W35-I35-Tabella7[[#This Row],[2013]]</f>
        <v>3</v>
      </c>
      <c r="X58" s="0" t="n">
        <f aca="false">X35-J35-Tabella7[[#This Row],[2012]]</f>
        <v>1</v>
      </c>
      <c r="Y58" s="0" t="n">
        <f aca="false">Y35-K35-Tabella7[[#This Row],[2011]]</f>
        <v>2</v>
      </c>
      <c r="Z58" s="0" t="n">
        <f aca="false">Z35-L35-Tabella7[[#This Row],[2010]]</f>
        <v>3</v>
      </c>
      <c r="AA58" s="0" t="n">
        <f aca="false">AA35-M35-Tabella7[[#This Row],[2009]]</f>
        <v>1</v>
      </c>
    </row>
    <row r="59" customFormat="false" ht="15" hidden="false" customHeight="false" outlineLevel="0" collapsed="false">
      <c r="B59" s="0" t="s">
        <v>21</v>
      </c>
      <c r="C59" s="0" t="n">
        <v>7614</v>
      </c>
      <c r="D59" s="0" t="n">
        <v>6801</v>
      </c>
      <c r="E59" s="0" t="n">
        <v>6506</v>
      </c>
      <c r="F59" s="0" t="n">
        <v>6367</v>
      </c>
      <c r="G59" s="0" t="n">
        <v>5863</v>
      </c>
      <c r="H59" s="0" t="n">
        <v>5699</v>
      </c>
      <c r="I59" s="0" t="n">
        <v>5526</v>
      </c>
      <c r="J59" s="0" t="n">
        <v>5439</v>
      </c>
      <c r="K59" s="0" t="n">
        <v>5422</v>
      </c>
      <c r="L59" s="0" t="n">
        <v>5283</v>
      </c>
      <c r="M59" s="0" t="n">
        <v>5358</v>
      </c>
      <c r="P59" s="0" t="s">
        <v>21</v>
      </c>
      <c r="Q59" s="0" t="n">
        <f aca="false">Q36-C36-Tabella7[[#This Row],[2019]]</f>
        <v>864</v>
      </c>
      <c r="R59" s="0" t="n">
        <f aca="false">R36-D36-Tabella7[[#This Row],[2018]]</f>
        <v>840</v>
      </c>
      <c r="S59" s="0" t="n">
        <f aca="false">S36-E36-Tabella7[[#This Row],[2017]]</f>
        <v>917</v>
      </c>
      <c r="T59" s="0" t="n">
        <f aca="false">T36-F36-Tabella7[[#This Row],[2016]]</f>
        <v>847</v>
      </c>
      <c r="U59" s="0" t="n">
        <f aca="false">U36-G36-Tabella7[[#This Row],[2015]]</f>
        <v>842</v>
      </c>
      <c r="V59" s="0" t="n">
        <f aca="false">V36-H36-Tabella7[[#This Row],[2014]]</f>
        <v>810</v>
      </c>
      <c r="W59" s="0" t="n">
        <f aca="false">W36-I36-Tabella7[[#This Row],[2013]]</f>
        <v>835</v>
      </c>
      <c r="X59" s="0" t="n">
        <f aca="false">X36-J36-Tabella7[[#This Row],[2012]]</f>
        <v>756</v>
      </c>
      <c r="Y59" s="0" t="n">
        <f aca="false">Y36-K36-Tabella7[[#This Row],[2011]]</f>
        <v>759</v>
      </c>
      <c r="Z59" s="0" t="n">
        <f aca="false">Z36-L36-Tabella7[[#This Row],[2010]]</f>
        <v>717</v>
      </c>
      <c r="AA59" s="0" t="n">
        <f aca="false">AA36-M36-Tabella7[[#This Row],[2009]]</f>
        <v>749</v>
      </c>
    </row>
    <row r="60" customFormat="false" ht="15" hidden="false" customHeight="false" outlineLevel="0" collapsed="false">
      <c r="B60" s="0" t="s">
        <v>23</v>
      </c>
      <c r="C60" s="0" t="n">
        <v>715</v>
      </c>
      <c r="D60" s="0" t="n">
        <v>708</v>
      </c>
      <c r="E60" s="0" t="n">
        <v>661</v>
      </c>
      <c r="F60" s="0" t="n">
        <v>597</v>
      </c>
      <c r="G60" s="0" t="n">
        <v>557</v>
      </c>
      <c r="H60" s="0" t="n">
        <v>514</v>
      </c>
      <c r="I60" s="0" t="n">
        <v>485</v>
      </c>
      <c r="J60" s="0" t="n">
        <v>460</v>
      </c>
      <c r="K60" s="0" t="n">
        <v>485</v>
      </c>
      <c r="L60" s="0" t="n">
        <v>434</v>
      </c>
      <c r="M60" s="0" t="n">
        <v>387</v>
      </c>
      <c r="P60" s="0" t="s">
        <v>23</v>
      </c>
      <c r="Q60" s="0" t="n">
        <f aca="false">Q37-C37-Tabella7[[#This Row],[2019]]</f>
        <v>2670</v>
      </c>
      <c r="R60" s="0" t="n">
        <f aca="false">R37-D37-Tabella7[[#This Row],[2018]]</f>
        <v>2872</v>
      </c>
      <c r="S60" s="0" t="n">
        <f aca="false">S37-E37-Tabella7[[#This Row],[2017]]</f>
        <v>2841</v>
      </c>
      <c r="T60" s="0" t="n">
        <f aca="false">T37-F37-Tabella7[[#This Row],[2016]]</f>
        <v>2966</v>
      </c>
      <c r="U60" s="0" t="n">
        <f aca="false">U37-G37-Tabella7[[#This Row],[2015]]</f>
        <v>2862</v>
      </c>
      <c r="V60" s="0" t="n">
        <f aca="false">V37-H37-Tabella7[[#This Row],[2014]]</f>
        <v>2484</v>
      </c>
      <c r="W60" s="0" t="n">
        <f aca="false">W37-I37-Tabella7[[#This Row],[2013]]</f>
        <v>2154</v>
      </c>
      <c r="X60" s="0" t="n">
        <f aca="false">X37-J37-Tabella7[[#This Row],[2012]]</f>
        <v>2028</v>
      </c>
      <c r="Y60" s="0" t="n">
        <f aca="false">Y37-K37-Tabella7[[#This Row],[2011]]</f>
        <v>1892</v>
      </c>
      <c r="Z60" s="0" t="n">
        <f aca="false">Z37-L37-Tabella7[[#This Row],[2010]]</f>
        <v>1644</v>
      </c>
      <c r="AA60" s="0" t="n">
        <f aca="false">AA37-M37-Tabella7[[#This Row],[2009]]</f>
        <v>1494</v>
      </c>
    </row>
    <row r="61" customFormat="false" ht="15" hidden="false" customHeight="false" outlineLevel="0" collapsed="false">
      <c r="A61" s="0" t="s">
        <v>26</v>
      </c>
      <c r="B61" s="0" t="s">
        <v>17</v>
      </c>
      <c r="C61" s="0" t="n">
        <v>3233</v>
      </c>
      <c r="D61" s="0" t="n">
        <v>3061</v>
      </c>
      <c r="E61" s="0" t="n">
        <v>2672</v>
      </c>
      <c r="F61" s="0" t="n">
        <v>2587</v>
      </c>
      <c r="G61" s="0" t="n">
        <v>2366</v>
      </c>
      <c r="H61" s="0" t="n">
        <v>2284</v>
      </c>
      <c r="I61" s="0" t="n">
        <v>2196</v>
      </c>
      <c r="J61" s="0" t="n">
        <v>2164</v>
      </c>
      <c r="K61" s="0" t="n">
        <v>2164</v>
      </c>
      <c r="L61" s="0" t="n">
        <v>2314</v>
      </c>
      <c r="M61" s="0" t="n">
        <v>2191</v>
      </c>
      <c r="O61" s="0" t="s">
        <v>26</v>
      </c>
      <c r="P61" s="0" t="s">
        <v>17</v>
      </c>
      <c r="Q61" s="0" t="n">
        <f aca="false">Q38-C38-Tabella7[[#This Row],[2019]]</f>
        <v>1791</v>
      </c>
      <c r="R61" s="0" t="n">
        <f aca="false">R38-D38-Tabella7[[#This Row],[2018]]</f>
        <v>1799</v>
      </c>
      <c r="S61" s="0" t="n">
        <f aca="false">S38-E38-Tabella7[[#This Row],[2017]]</f>
        <v>1868</v>
      </c>
      <c r="T61" s="0" t="n">
        <f aca="false">T38-F38-Tabella7[[#This Row],[2016]]</f>
        <v>1778</v>
      </c>
      <c r="U61" s="0" t="n">
        <f aca="false">U38-G38-Tabella7[[#This Row],[2015]]</f>
        <v>1814</v>
      </c>
      <c r="V61" s="0" t="n">
        <f aca="false">V38-H38-Tabella7[[#This Row],[2014]]</f>
        <v>1455</v>
      </c>
      <c r="W61" s="0" t="n">
        <f aca="false">W38-I38-Tabella7[[#This Row],[2013]]</f>
        <v>1359</v>
      </c>
      <c r="X61" s="0" t="n">
        <f aca="false">X38-J38-Tabella7[[#This Row],[2012]]</f>
        <v>1244</v>
      </c>
      <c r="Y61" s="0" t="n">
        <f aca="false">Y38-K38-Tabella7[[#This Row],[2011]]</f>
        <v>1153</v>
      </c>
      <c r="Z61" s="0" t="n">
        <f aca="false">Z38-L38-Tabella7[[#This Row],[2010]]</f>
        <v>1008</v>
      </c>
      <c r="AA61" s="0" t="n">
        <f aca="false">AA38-M38-Tabella7[[#This Row],[2009]]</f>
        <v>903</v>
      </c>
    </row>
    <row r="62" customFormat="false" ht="15" hidden="false" customHeight="false" outlineLevel="0" collapsed="false">
      <c r="B62" s="0" t="s">
        <v>19</v>
      </c>
      <c r="C62" s="0" t="n">
        <v>2</v>
      </c>
      <c r="D62" s="0" t="n">
        <v>4</v>
      </c>
      <c r="E62" s="0" t="n">
        <v>2</v>
      </c>
      <c r="F62" s="0" t="n">
        <v>5</v>
      </c>
      <c r="G62" s="0" t="n">
        <v>4</v>
      </c>
      <c r="H62" s="0" t="n">
        <v>6</v>
      </c>
      <c r="I62" s="0" t="n">
        <v>5</v>
      </c>
      <c r="J62" s="0" t="n">
        <v>1</v>
      </c>
      <c r="K62" s="0" t="n">
        <v>4</v>
      </c>
      <c r="L62" s="0" t="n">
        <v>10</v>
      </c>
      <c r="M62" s="0" t="n">
        <v>6</v>
      </c>
      <c r="P62" s="0" t="s">
        <v>19</v>
      </c>
      <c r="Q62" s="0" t="n">
        <f aca="false">Q39-C39-Tabella7[[#This Row],[2019]]</f>
        <v>0</v>
      </c>
      <c r="R62" s="0" t="n">
        <f aca="false">R39-D39-Tabella7[[#This Row],[2018]]</f>
        <v>0</v>
      </c>
      <c r="S62" s="0" t="n">
        <f aca="false">S39-E39-Tabella7[[#This Row],[2017]]</f>
        <v>0</v>
      </c>
      <c r="T62" s="0" t="n">
        <f aca="false">T39-F39-Tabella7[[#This Row],[2016]]</f>
        <v>0</v>
      </c>
      <c r="U62" s="0" t="n">
        <f aca="false">U39-G39-Tabella7[[#This Row],[2015]]</f>
        <v>0</v>
      </c>
      <c r="V62" s="0" t="n">
        <f aca="false">V39-H39-Tabella7[[#This Row],[2014]]</f>
        <v>0</v>
      </c>
      <c r="W62" s="0" t="n">
        <f aca="false">W39-I39-Tabella7[[#This Row],[2013]]</f>
        <v>1</v>
      </c>
      <c r="X62" s="0" t="n">
        <f aca="false">X39-J39-Tabella7[[#This Row],[2012]]</f>
        <v>0</v>
      </c>
      <c r="Y62" s="0" t="n">
        <f aca="false">Y39-K39-Tabella7[[#This Row],[2011]]</f>
        <v>1</v>
      </c>
      <c r="Z62" s="0" t="n">
        <f aca="false">Z39-L39-Tabella7[[#This Row],[2010]]</f>
        <v>2</v>
      </c>
      <c r="AA62" s="0" t="n">
        <f aca="false">AA39-M39-Tabella7[[#This Row],[2009]]</f>
        <v>1</v>
      </c>
    </row>
    <row r="63" customFormat="false" ht="15" hidden="false" customHeight="false" outlineLevel="0" collapsed="false">
      <c r="B63" s="0" t="s">
        <v>21</v>
      </c>
      <c r="C63" s="0" t="n">
        <v>2963</v>
      </c>
      <c r="D63" s="0" t="n">
        <v>2827</v>
      </c>
      <c r="E63" s="0" t="n">
        <v>2470</v>
      </c>
      <c r="F63" s="0" t="n">
        <v>2377</v>
      </c>
      <c r="G63" s="0" t="n">
        <v>2178</v>
      </c>
      <c r="H63" s="0" t="n">
        <v>2074</v>
      </c>
      <c r="I63" s="0" t="n">
        <v>1977</v>
      </c>
      <c r="J63" s="0" t="n">
        <v>1943</v>
      </c>
      <c r="K63" s="0" t="n">
        <v>1945</v>
      </c>
      <c r="L63" s="0" t="n">
        <v>2041</v>
      </c>
      <c r="M63" s="0" t="n">
        <v>1919</v>
      </c>
      <c r="P63" s="0" t="s">
        <v>21</v>
      </c>
      <c r="Q63" s="0" t="n">
        <f aca="false">Q40-C40-Tabella7[[#This Row],[2019]]</f>
        <v>478</v>
      </c>
      <c r="R63" s="0" t="n">
        <f aca="false">R40-D40-Tabella7[[#This Row],[2018]]</f>
        <v>478</v>
      </c>
      <c r="S63" s="0" t="n">
        <f aca="false">S40-E40-Tabella7[[#This Row],[2017]]</f>
        <v>457</v>
      </c>
      <c r="T63" s="0" t="n">
        <f aca="false">T40-F40-Tabella7[[#This Row],[2016]]</f>
        <v>429</v>
      </c>
      <c r="U63" s="0" t="n">
        <f aca="false">U40-G40-Tabella7[[#This Row],[2015]]</f>
        <v>525</v>
      </c>
      <c r="V63" s="0" t="n">
        <f aca="false">V40-H40-Tabella7[[#This Row],[2014]]</f>
        <v>357</v>
      </c>
      <c r="W63" s="0" t="n">
        <f aca="false">W40-I40-Tabella7[[#This Row],[2013]]</f>
        <v>439</v>
      </c>
      <c r="X63" s="0" t="n">
        <f aca="false">X40-J40-Tabella7[[#This Row],[2012]]</f>
        <v>380</v>
      </c>
      <c r="Y63" s="0" t="n">
        <f aca="false">Y40-K40-Tabella7[[#This Row],[2011]]</f>
        <v>385</v>
      </c>
      <c r="Z63" s="0" t="n">
        <f aca="false">Z40-L40-Tabella7[[#This Row],[2010]]</f>
        <v>379</v>
      </c>
      <c r="AA63" s="0" t="n">
        <f aca="false">AA40-M40-Tabella7[[#This Row],[2009]]</f>
        <v>372</v>
      </c>
    </row>
    <row r="64" customFormat="false" ht="15" hidden="false" customHeight="false" outlineLevel="0" collapsed="false">
      <c r="B64" s="0" t="s">
        <v>23</v>
      </c>
      <c r="C64" s="0" t="n">
        <v>257</v>
      </c>
      <c r="D64" s="0" t="n">
        <v>217</v>
      </c>
      <c r="E64" s="0" t="n">
        <v>185</v>
      </c>
      <c r="F64" s="0" t="n">
        <v>185</v>
      </c>
      <c r="G64" s="0" t="n">
        <v>172</v>
      </c>
      <c r="H64" s="0" t="n">
        <v>173</v>
      </c>
      <c r="I64" s="0" t="n">
        <v>136</v>
      </c>
      <c r="J64" s="0" t="n">
        <v>143</v>
      </c>
      <c r="K64" s="0" t="n">
        <v>134</v>
      </c>
      <c r="L64" s="0" t="n">
        <v>149</v>
      </c>
      <c r="M64" s="0" t="n">
        <v>120</v>
      </c>
      <c r="P64" s="0" t="s">
        <v>23</v>
      </c>
      <c r="Q64" s="0" t="n">
        <f aca="false">Q41-C41-Tabella7[[#This Row],[2019]]</f>
        <v>1498</v>
      </c>
      <c r="R64" s="0" t="n">
        <f aca="false">R41-D41-Tabella7[[#This Row],[2018]]</f>
        <v>1499</v>
      </c>
      <c r="S64" s="0" t="n">
        <f aca="false">S41-E41-Tabella7[[#This Row],[2017]]</f>
        <v>1584</v>
      </c>
      <c r="T64" s="0" t="n">
        <f aca="false">T41-F41-Tabella7[[#This Row],[2016]]</f>
        <v>1496</v>
      </c>
      <c r="U64" s="0" t="n">
        <f aca="false">U41-G41-Tabella7[[#This Row],[2015]]</f>
        <v>1450</v>
      </c>
      <c r="V64" s="0" t="n">
        <f aca="false">V41-H41-Tabella7[[#This Row],[2014]]</f>
        <v>1231</v>
      </c>
      <c r="W64" s="0" t="n">
        <f aca="false">W41-I41-Tabella7[[#This Row],[2013]]</f>
        <v>1116</v>
      </c>
      <c r="X64" s="0" t="n">
        <f aca="false">X41-J41-Tabella7[[#This Row],[2012]]</f>
        <v>1056</v>
      </c>
      <c r="Y64" s="0" t="n">
        <f aca="false">Y41-K41-Tabella7[[#This Row],[2011]]</f>
        <v>940</v>
      </c>
      <c r="Z64" s="0" t="n">
        <f aca="false">Z41-L41-Tabella7[[#This Row],[2010]]</f>
        <v>845</v>
      </c>
      <c r="AA64" s="0" t="n">
        <f aca="false">AA41-M41-Tabella7[[#This Row],[2009]]</f>
        <v>751</v>
      </c>
    </row>
    <row r="65" customFormat="false" ht="15" hidden="false" customHeight="false" outlineLevel="0" collapsed="false">
      <c r="A65" s="0" t="s">
        <v>27</v>
      </c>
      <c r="B65" s="0" t="s">
        <v>17</v>
      </c>
      <c r="C65" s="0" t="n">
        <v>1180</v>
      </c>
      <c r="D65" s="0" t="n">
        <v>1030</v>
      </c>
      <c r="E65" s="0" t="n">
        <v>968</v>
      </c>
      <c r="F65" s="0" t="n">
        <v>860</v>
      </c>
      <c r="G65" s="0" t="n">
        <v>954</v>
      </c>
      <c r="H65" s="0" t="n">
        <v>801</v>
      </c>
      <c r="I65" s="0" t="n">
        <v>815</v>
      </c>
      <c r="J65" s="0" t="n">
        <v>859</v>
      </c>
      <c r="K65" s="0" t="n">
        <v>819</v>
      </c>
      <c r="L65" s="0" t="n">
        <v>825</v>
      </c>
      <c r="M65" s="0" t="n">
        <v>798</v>
      </c>
      <c r="O65" s="0" t="s">
        <v>27</v>
      </c>
      <c r="P65" s="0" t="s">
        <v>17</v>
      </c>
      <c r="Q65" s="0" t="n">
        <f aca="false">Q42-C42-Tabella7[[#This Row],[2019]]</f>
        <v>273</v>
      </c>
      <c r="R65" s="0" t="n">
        <f aca="false">R42-D42-Tabella7[[#This Row],[2018]]</f>
        <v>318</v>
      </c>
      <c r="S65" s="0" t="n">
        <f aca="false">S42-E42-Tabella7[[#This Row],[2017]]</f>
        <v>346</v>
      </c>
      <c r="T65" s="0" t="n">
        <f aca="false">T42-F42-Tabella7[[#This Row],[2016]]</f>
        <v>319</v>
      </c>
      <c r="U65" s="0" t="n">
        <f aca="false">U42-G42-Tabella7[[#This Row],[2015]]</f>
        <v>332</v>
      </c>
      <c r="V65" s="0" t="n">
        <f aca="false">V42-H42-Tabella7[[#This Row],[2014]]</f>
        <v>271</v>
      </c>
      <c r="W65" s="0" t="n">
        <f aca="false">W42-I42-Tabella7[[#This Row],[2013]]</f>
        <v>264</v>
      </c>
      <c r="X65" s="0" t="n">
        <f aca="false">X42-J42-Tabella7[[#This Row],[2012]]</f>
        <v>220</v>
      </c>
      <c r="Y65" s="0" t="n">
        <f aca="false">Y42-K42-Tabella7[[#This Row],[2011]]</f>
        <v>207</v>
      </c>
      <c r="Z65" s="0" t="n">
        <f aca="false">Z42-L42-Tabella7[[#This Row],[2010]]</f>
        <v>156</v>
      </c>
      <c r="AA65" s="0" t="n">
        <f aca="false">AA42-M42-Tabella7[[#This Row],[2009]]</f>
        <v>132</v>
      </c>
    </row>
    <row r="66" customFormat="false" ht="15" hidden="false" customHeight="false" outlineLevel="0" collapsed="false">
      <c r="B66" s="0" t="s">
        <v>19</v>
      </c>
      <c r="C66" s="0" t="n">
        <v>3</v>
      </c>
      <c r="D66" s="0" t="n">
        <v>0</v>
      </c>
      <c r="E66" s="0" t="n">
        <v>1</v>
      </c>
      <c r="F66" s="0" t="n">
        <v>0</v>
      </c>
      <c r="G66" s="0" t="n">
        <v>0</v>
      </c>
      <c r="H66" s="0" t="n">
        <v>1</v>
      </c>
      <c r="I66" s="0" t="n">
        <v>2</v>
      </c>
      <c r="J66" s="0" t="n">
        <v>0</v>
      </c>
      <c r="K66" s="0" t="n">
        <v>2</v>
      </c>
      <c r="L66" s="0" t="n">
        <v>0</v>
      </c>
      <c r="M66" s="0" t="n">
        <v>1</v>
      </c>
      <c r="P66" s="0" t="s">
        <v>19</v>
      </c>
      <c r="Q66" s="0" t="n">
        <f aca="false">Q43-C43-Tabella7[[#This Row],[2019]]</f>
        <v>0</v>
      </c>
      <c r="R66" s="0" t="n">
        <f aca="false">R43-D43-Tabella7[[#This Row],[2018]]</f>
        <v>1</v>
      </c>
      <c r="S66" s="0" t="n">
        <f aca="false">S43-E43-Tabella7[[#This Row],[2017]]</f>
        <v>0</v>
      </c>
      <c r="T66" s="0" t="n">
        <f aca="false">T43-F43-Tabella7[[#This Row],[2016]]</f>
        <v>2</v>
      </c>
      <c r="U66" s="0" t="n">
        <f aca="false">U43-G43-Tabella7[[#This Row],[2015]]</f>
        <v>0</v>
      </c>
      <c r="V66" s="0" t="n">
        <f aca="false">V43-H43-Tabella7[[#This Row],[2014]]</f>
        <v>0</v>
      </c>
      <c r="W66" s="0" t="n">
        <f aca="false">W43-I43-Tabella7[[#This Row],[2013]]</f>
        <v>0</v>
      </c>
      <c r="X66" s="0" t="n">
        <f aca="false">X43-J43-Tabella7[[#This Row],[2012]]</f>
        <v>0</v>
      </c>
      <c r="Y66" s="0" t="n">
        <f aca="false">Y43-K43-Tabella7[[#This Row],[2011]]</f>
        <v>0</v>
      </c>
      <c r="Z66" s="0" t="n">
        <f aca="false">Z43-L43-Tabella7[[#This Row],[2010]]</f>
        <v>0</v>
      </c>
      <c r="AA66" s="0" t="n">
        <f aca="false">AA43-M43-Tabella7[[#This Row],[2009]]</f>
        <v>0</v>
      </c>
    </row>
    <row r="67" customFormat="false" ht="15" hidden="false" customHeight="false" outlineLevel="0" collapsed="false">
      <c r="B67" s="0" t="s">
        <v>21</v>
      </c>
      <c r="C67" s="0" t="n">
        <v>1100</v>
      </c>
      <c r="D67" s="0" t="n">
        <v>952</v>
      </c>
      <c r="E67" s="0" t="n">
        <v>896</v>
      </c>
      <c r="F67" s="0" t="n">
        <v>797</v>
      </c>
      <c r="G67" s="0" t="n">
        <v>883</v>
      </c>
      <c r="H67" s="0" t="n">
        <v>728</v>
      </c>
      <c r="I67" s="0" t="n">
        <v>744</v>
      </c>
      <c r="J67" s="0" t="n">
        <v>773</v>
      </c>
      <c r="K67" s="0" t="n">
        <v>746</v>
      </c>
      <c r="L67" s="0" t="n">
        <v>731</v>
      </c>
      <c r="M67" s="0" t="n">
        <v>707</v>
      </c>
      <c r="P67" s="0" t="s">
        <v>21</v>
      </c>
      <c r="Q67" s="0" t="n">
        <f aca="false">Q44-C44-Tabella7[[#This Row],[2019]]</f>
        <v>87</v>
      </c>
      <c r="R67" s="0" t="n">
        <f aca="false">R44-D44-Tabella7[[#This Row],[2018]]</f>
        <v>83</v>
      </c>
      <c r="S67" s="0" t="n">
        <f aca="false">S44-E44-Tabella7[[#This Row],[2017]]</f>
        <v>71</v>
      </c>
      <c r="T67" s="0" t="n">
        <f aca="false">T44-F44-Tabella7[[#This Row],[2016]]</f>
        <v>72</v>
      </c>
      <c r="U67" s="0" t="n">
        <f aca="false">U44-G44-Tabella7[[#This Row],[2015]]</f>
        <v>85</v>
      </c>
      <c r="V67" s="0" t="n">
        <f aca="false">V44-H44-Tabella7[[#This Row],[2014]]</f>
        <v>64</v>
      </c>
      <c r="W67" s="0" t="n">
        <f aca="false">W44-I44-Tabella7[[#This Row],[2013]]</f>
        <v>75</v>
      </c>
      <c r="X67" s="0" t="n">
        <f aca="false">X44-J44-Tabella7[[#This Row],[2012]]</f>
        <v>68</v>
      </c>
      <c r="Y67" s="0" t="n">
        <f aca="false">Y44-K44-Tabella7[[#This Row],[2011]]</f>
        <v>82</v>
      </c>
      <c r="Z67" s="0" t="n">
        <f aca="false">Z44-L44-Tabella7[[#This Row],[2010]]</f>
        <v>74</v>
      </c>
      <c r="AA67" s="0" t="n">
        <f aca="false">AA44-M44-Tabella7[[#This Row],[2009]]</f>
        <v>65</v>
      </c>
    </row>
    <row r="68" customFormat="false" ht="15" hidden="false" customHeight="false" outlineLevel="0" collapsed="false">
      <c r="B68" s="0" t="s">
        <v>23</v>
      </c>
      <c r="C68" s="0" t="n">
        <v>68</v>
      </c>
      <c r="D68" s="0" t="n">
        <v>75</v>
      </c>
      <c r="E68" s="0" t="n">
        <v>70</v>
      </c>
      <c r="F68" s="0" t="n">
        <v>56</v>
      </c>
      <c r="G68" s="0" t="n">
        <v>68</v>
      </c>
      <c r="H68" s="0" t="n">
        <v>55</v>
      </c>
      <c r="I68" s="0" t="n">
        <v>49</v>
      </c>
      <c r="J68" s="0" t="n">
        <v>60</v>
      </c>
      <c r="K68" s="0" t="n">
        <v>50</v>
      </c>
      <c r="L68" s="0" t="n">
        <v>57</v>
      </c>
      <c r="M68" s="0" t="n">
        <v>42</v>
      </c>
      <c r="P68" s="0" t="s">
        <v>23</v>
      </c>
      <c r="Q68" s="0" t="n">
        <f aca="false">Q45-C45-Tabella7[[#This Row],[2019]]</f>
        <v>231</v>
      </c>
      <c r="R68" s="0" t="n">
        <f aca="false">R45-D45-Tabella7[[#This Row],[2018]]</f>
        <v>268</v>
      </c>
      <c r="S68" s="0" t="n">
        <f aca="false">S45-E45-Tabella7[[#This Row],[2017]]</f>
        <v>311</v>
      </c>
      <c r="T68" s="0" t="n">
        <f aca="false">T45-F45-Tabella7[[#This Row],[2016]]</f>
        <v>292</v>
      </c>
      <c r="U68" s="0" t="n">
        <f aca="false">U45-G45-Tabella7[[#This Row],[2015]]</f>
        <v>293</v>
      </c>
      <c r="V68" s="0" t="n">
        <f aca="false">V45-H45-Tabella7[[#This Row],[2014]]</f>
        <v>260</v>
      </c>
      <c r="W68" s="0" t="n">
        <f aca="false">W45-I45-Tabella7[[#This Row],[2013]]</f>
        <v>244</v>
      </c>
      <c r="X68" s="0" t="n">
        <f aca="false">X45-J45-Tabella7[[#This Row],[2012]]</f>
        <v>213</v>
      </c>
      <c r="Y68" s="0" t="n">
        <f aca="false">Y45-K45-Tabella7[[#This Row],[2011]]</f>
        <v>172</v>
      </c>
      <c r="Z68" s="0" t="n">
        <f aca="false">Z45-L45-Tabella7[[#This Row],[2010]]</f>
        <v>135</v>
      </c>
      <c r="AA68" s="0" t="n">
        <f aca="false">AA45-M45-Tabella7[[#This Row],[2009]]</f>
        <v>147</v>
      </c>
    </row>
    <row r="70" customFormat="false" ht="15" hidden="false" customHeight="false" outlineLevel="0" collapsed="false">
      <c r="A70" s="5" t="s">
        <v>33</v>
      </c>
      <c r="B70" s="5"/>
      <c r="C70" s="5"/>
      <c r="D70" s="5"/>
      <c r="E70" s="5"/>
    </row>
    <row r="71" customFormat="false" ht="15" hidden="false" customHeight="false" outlineLevel="0" collapsed="false">
      <c r="A71" s="2" t="s">
        <v>2</v>
      </c>
      <c r="B71" s="2" t="s">
        <v>34</v>
      </c>
      <c r="C71" s="2" t="s">
        <v>35</v>
      </c>
      <c r="D71" s="2" t="s">
        <v>36</v>
      </c>
      <c r="E71" s="2" t="s">
        <v>37</v>
      </c>
    </row>
    <row r="72" customFormat="false" ht="15" hidden="false" customHeight="false" outlineLevel="0" collapsed="false">
      <c r="A72" s="0" t="s">
        <v>16</v>
      </c>
      <c r="B72" s="0" t="n">
        <v>1</v>
      </c>
      <c r="C72" s="0" t="n">
        <v>64123</v>
      </c>
      <c r="D72" s="3" t="n">
        <v>0.946</v>
      </c>
      <c r="E72" s="3" t="n">
        <f aca="false">1-Tabella6[[#This Row],[P(successo)]]</f>
        <v>0.0540000000000001</v>
      </c>
    </row>
    <row r="73" customFormat="false" ht="15" hidden="false" customHeight="false" outlineLevel="0" collapsed="false">
      <c r="B73" s="0" t="n">
        <v>3</v>
      </c>
      <c r="C73" s="0" t="n">
        <v>56240</v>
      </c>
      <c r="D73" s="3" t="n">
        <v>0.878</v>
      </c>
      <c r="E73" s="3" t="n">
        <f aca="false">1-Tabella6[[#This Row],[P(successo)]]</f>
        <v>0.122</v>
      </c>
    </row>
    <row r="74" customFormat="false" ht="15" hidden="false" customHeight="false" outlineLevel="0" collapsed="false">
      <c r="B74" s="0" t="n">
        <v>5</v>
      </c>
      <c r="C74" s="0" t="n">
        <v>47638</v>
      </c>
      <c r="D74" s="3" t="n">
        <v>0.78675</v>
      </c>
      <c r="E74" s="3" t="n">
        <f aca="false">1-Tabella6[[#This Row],[P(successo)]]</f>
        <v>0.21325</v>
      </c>
    </row>
    <row r="75" customFormat="false" ht="15" hidden="false" customHeight="false" outlineLevel="0" collapsed="false">
      <c r="A75" s="0" t="s">
        <v>24</v>
      </c>
      <c r="B75" s="0" t="n">
        <v>1</v>
      </c>
      <c r="C75" s="0" t="n">
        <v>28779</v>
      </c>
      <c r="D75" s="3" t="n">
        <v>0.946</v>
      </c>
      <c r="E75" s="3" t="n">
        <f aca="false">1-Tabella6[[#This Row],[P(successo)]]</f>
        <v>0.0540000000000001</v>
      </c>
    </row>
    <row r="76" customFormat="false" ht="15" hidden="false" customHeight="false" outlineLevel="0" collapsed="false">
      <c r="B76" s="0" t="n">
        <v>3</v>
      </c>
      <c r="C76" s="0" t="n">
        <v>25312</v>
      </c>
      <c r="D76" s="3" t="n">
        <v>0.876</v>
      </c>
      <c r="E76" s="3" t="n">
        <f aca="false">1-Tabella6[[#This Row],[P(successo)]]</f>
        <v>0.124</v>
      </c>
    </row>
    <row r="77" customFormat="false" ht="15" hidden="false" customHeight="false" outlineLevel="0" collapsed="false">
      <c r="B77" s="0" t="n">
        <v>5</v>
      </c>
      <c r="C77" s="0" t="n">
        <v>21429</v>
      </c>
      <c r="D77" s="3" t="n">
        <v>0.785</v>
      </c>
      <c r="E77" s="3" t="n">
        <f aca="false">1-Tabella6[[#This Row],[P(successo)]]</f>
        <v>0.215</v>
      </c>
    </row>
    <row r="78" customFormat="false" ht="15" hidden="false" customHeight="false" outlineLevel="0" collapsed="false">
      <c r="A78" s="0" t="s">
        <v>25</v>
      </c>
      <c r="B78" s="0" t="n">
        <v>1</v>
      </c>
      <c r="C78" s="0" t="n">
        <v>23687</v>
      </c>
      <c r="D78" s="3" t="n">
        <v>0.947</v>
      </c>
      <c r="E78" s="3" t="n">
        <f aca="false">1-Tabella6[[#This Row],[P(successo)]]</f>
        <v>0.053</v>
      </c>
    </row>
    <row r="79" customFormat="false" ht="15" hidden="false" customHeight="false" outlineLevel="0" collapsed="false">
      <c r="B79" s="0" t="n">
        <v>3</v>
      </c>
      <c r="C79" s="0" t="n">
        <v>20747</v>
      </c>
      <c r="D79" s="3" t="n">
        <v>0.878</v>
      </c>
      <c r="E79" s="3" t="n">
        <f aca="false">1-Tabella6[[#This Row],[P(successo)]]</f>
        <v>0.122</v>
      </c>
    </row>
    <row r="80" customFormat="false" ht="15" hidden="false" customHeight="false" outlineLevel="0" collapsed="false">
      <c r="B80" s="0" t="n">
        <v>5</v>
      </c>
      <c r="C80" s="0" t="n">
        <v>17602</v>
      </c>
      <c r="D80" s="3" t="n">
        <v>0.785</v>
      </c>
      <c r="E80" s="3" t="n">
        <f aca="false">1-Tabella6[[#This Row],[P(successo)]]</f>
        <v>0.215</v>
      </c>
    </row>
    <row r="81" customFormat="false" ht="15" hidden="false" customHeight="false" outlineLevel="0" collapsed="false">
      <c r="A81" s="0" t="s">
        <v>26</v>
      </c>
      <c r="B81" s="0" t="n">
        <v>1</v>
      </c>
      <c r="C81" s="0" t="n">
        <v>8436</v>
      </c>
      <c r="D81" s="3" t="n">
        <v>0.944</v>
      </c>
      <c r="E81" s="3" t="n">
        <f aca="false">1-Tabella6[[#This Row],[P(successo)]]</f>
        <v>0.0560000000000001</v>
      </c>
    </row>
    <row r="82" customFormat="false" ht="15" hidden="false" customHeight="false" outlineLevel="0" collapsed="false">
      <c r="B82" s="0" t="n">
        <v>3</v>
      </c>
      <c r="C82" s="0" t="n">
        <v>7380</v>
      </c>
      <c r="D82" s="3" t="n">
        <v>0.876</v>
      </c>
      <c r="E82" s="3" t="n">
        <f aca="false">1-Tabella6[[#This Row],[P(successo)]]</f>
        <v>0.124</v>
      </c>
    </row>
    <row r="83" customFormat="false" ht="15" hidden="false" customHeight="false" outlineLevel="0" collapsed="false">
      <c r="B83" s="0" t="n">
        <v>5</v>
      </c>
      <c r="C83" s="0" t="n">
        <v>6279</v>
      </c>
      <c r="D83" s="3" t="n">
        <v>0.776</v>
      </c>
      <c r="E83" s="3" t="n">
        <f aca="false">1-Tabella6[[#This Row],[P(successo)]]</f>
        <v>0.224</v>
      </c>
    </row>
    <row r="84" customFormat="false" ht="15" hidden="false" customHeight="false" outlineLevel="0" collapsed="false">
      <c r="A84" s="0" t="s">
        <v>27</v>
      </c>
      <c r="B84" s="0" t="n">
        <v>1</v>
      </c>
      <c r="C84" s="0" t="n">
        <v>3221</v>
      </c>
      <c r="D84" s="3" t="n">
        <v>0.947</v>
      </c>
      <c r="E84" s="3" t="n">
        <f aca="false">1-Tabella6[[#This Row],[P(successo)]]</f>
        <v>0.053</v>
      </c>
    </row>
    <row r="85" customFormat="false" ht="15" hidden="false" customHeight="false" outlineLevel="0" collapsed="false">
      <c r="B85" s="0" t="n">
        <v>3</v>
      </c>
      <c r="C85" s="0" t="n">
        <v>2801</v>
      </c>
      <c r="D85" s="3" t="n">
        <v>0.882</v>
      </c>
      <c r="E85" s="3" t="n">
        <f aca="false">1-Tabella6[[#This Row],[P(successo)]]</f>
        <v>0.118</v>
      </c>
    </row>
    <row r="86" customFormat="false" ht="15" hidden="false" customHeight="false" outlineLevel="0" collapsed="false">
      <c r="B86" s="0" t="n">
        <v>5</v>
      </c>
      <c r="C86" s="0" t="n">
        <v>2328</v>
      </c>
      <c r="D86" s="3" t="n">
        <v>0.801</v>
      </c>
      <c r="E86" s="3" t="n">
        <f aca="false">1-Tabella6[[#This Row],[P(successo)]]</f>
        <v>0.199</v>
      </c>
    </row>
  </sheetData>
  <mergeCells count="7">
    <mergeCell ref="A1:M1"/>
    <mergeCell ref="O1:AA1"/>
    <mergeCell ref="A24:M24"/>
    <mergeCell ref="O24:AA24"/>
    <mergeCell ref="A47:M47"/>
    <mergeCell ref="O47:AA47"/>
    <mergeCell ref="A70:E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12.14"/>
    <col collapsed="false" customWidth="true" hidden="false" outlineLevel="0" max="3" min="3" style="0" width="19.85"/>
    <col collapsed="false" customWidth="true" hidden="false" outlineLevel="0" max="4" min="4" style="0" width="21.43"/>
    <col collapsed="false" customWidth="true" hidden="false" outlineLevel="0" max="5" min="5" style="0" width="21.86"/>
    <col collapsed="false" customWidth="true" hidden="false" outlineLevel="0" max="6" min="6" style="0" width="20.86"/>
  </cols>
  <sheetData>
    <row r="1" customFormat="false" ht="15.75" hidden="false" customHeight="false" outlineLevel="0" collapsed="false">
      <c r="A1" s="6" t="s">
        <v>0</v>
      </c>
      <c r="B1" s="6"/>
      <c r="C1" s="6"/>
      <c r="D1" s="6"/>
      <c r="E1" s="6"/>
      <c r="F1" s="6"/>
    </row>
    <row r="2" customFormat="false" ht="15" hidden="false" customHeight="false" outlineLevel="0" collapsed="false">
      <c r="A2" s="7" t="s">
        <v>2</v>
      </c>
      <c r="B2" s="7" t="s">
        <v>3</v>
      </c>
      <c r="C2" s="7" t="s">
        <v>38</v>
      </c>
      <c r="D2" s="7" t="s">
        <v>39</v>
      </c>
      <c r="E2" s="7" t="s">
        <v>40</v>
      </c>
      <c r="F2" s="7" t="s">
        <v>41</v>
      </c>
    </row>
    <row r="3" customFormat="false" ht="15" hidden="false" customHeight="false" outlineLevel="0" collapsed="false">
      <c r="A3" s="7" t="s">
        <v>16</v>
      </c>
      <c r="B3" s="7" t="s">
        <v>17</v>
      </c>
      <c r="C3" s="3" t="n">
        <f aca="false">AVERAGE(Dati_OPTN!C3:H3)</f>
        <v>37016.1666666667</v>
      </c>
      <c r="D3" s="3" t="n">
        <f aca="false">Tabella3[[#This Row],[p/anno (2014-2019)]]/365</f>
        <v>101.414155251142</v>
      </c>
      <c r="E3" s="3" t="n">
        <f aca="false">AVERAGE(Dati_OPTN!I3:M3)</f>
        <v>34566</v>
      </c>
      <c r="F3" s="3" t="n">
        <f aca="false">Tabella3[[#This Row],[p/anno (2009-2013)]]/365</f>
        <v>94.7013698630137</v>
      </c>
    </row>
    <row r="4" customFormat="false" ht="15" hidden="false" customHeight="false" outlineLevel="0" collapsed="false">
      <c r="A4" s="7"/>
      <c r="B4" s="7" t="s">
        <v>19</v>
      </c>
      <c r="C4" s="3" t="n">
        <f aca="false">AVERAGE(Dati_OPTN!C4:H4)</f>
        <v>37.3333333333333</v>
      </c>
      <c r="D4" s="3" t="n">
        <f aca="false">Tabella3[[#This Row],[p/anno (2014-2019)]]/365</f>
        <v>0.102283105022831</v>
      </c>
      <c r="E4" s="3" t="n">
        <f aca="false">AVERAGE(Dati_OPTN!I4:M4)</f>
        <v>31</v>
      </c>
      <c r="F4" s="3" t="n">
        <f aca="false">Tabella3[[#This Row],[p/anno (2009-2013)]]/365</f>
        <v>0.0849315068493151</v>
      </c>
    </row>
    <row r="5" customFormat="false" ht="15" hidden="false" customHeight="false" outlineLevel="0" collapsed="false">
      <c r="A5" s="7"/>
      <c r="B5" s="7" t="s">
        <v>21</v>
      </c>
      <c r="C5" s="3" t="n">
        <f aca="false">AVERAGE(Dati_OPTN!C5:H5)</f>
        <v>28004.8333333333</v>
      </c>
      <c r="D5" s="3" t="n">
        <f aca="false">Tabella3[[#This Row],[p/anno (2014-2019)]]/365</f>
        <v>76.7255707762557</v>
      </c>
      <c r="E5" s="3" t="n">
        <f aca="false">AVERAGE(Dati_OPTN!I5:M5)</f>
        <v>24282.6</v>
      </c>
      <c r="F5" s="3" t="n">
        <f aca="false">Tabella3[[#This Row],[p/anno (2009-2013)]]/365</f>
        <v>66.5276712328767</v>
      </c>
    </row>
    <row r="6" customFormat="false" ht="15" hidden="false" customHeight="false" outlineLevel="0" collapsed="false">
      <c r="A6" s="7"/>
      <c r="B6" s="7" t="s">
        <v>23</v>
      </c>
      <c r="C6" s="3" t="n">
        <f aca="false">AVERAGE(Dati_OPTN!C6:H6)</f>
        <v>9350.83333333333</v>
      </c>
      <c r="D6" s="3" t="n">
        <f aca="false">Tabella3[[#This Row],[p/anno (2014-2019)]]/365</f>
        <v>25.6187214611872</v>
      </c>
      <c r="E6" s="3" t="n">
        <f aca="false">AVERAGE(Dati_OPTN!I6:M6)</f>
        <v>10665.6</v>
      </c>
      <c r="F6" s="3" t="n">
        <f aca="false">Tabella3[[#This Row],[p/anno (2009-2013)]]/365</f>
        <v>29.2208219178082</v>
      </c>
    </row>
    <row r="7" customFormat="false" ht="15" hidden="false" customHeight="false" outlineLevel="0" collapsed="false">
      <c r="A7" s="7" t="s">
        <v>24</v>
      </c>
      <c r="B7" s="7" t="s">
        <v>17</v>
      </c>
      <c r="C7" s="3" t="n">
        <f aca="false">AVERAGE(Dati_OPTN!C7:H7)</f>
        <v>18053.6666666667</v>
      </c>
      <c r="D7" s="3" t="n">
        <f aca="false">Tabella3[[#This Row],[p/anno (2014-2019)]]/365</f>
        <v>49.462100456621</v>
      </c>
      <c r="E7" s="3" t="n">
        <f aca="false">AVERAGE(Dati_OPTN!I7:M7)</f>
        <v>16769.6</v>
      </c>
      <c r="F7" s="3" t="n">
        <f aca="false">Tabella3[[#This Row],[p/anno (2009-2013)]]/365</f>
        <v>45.9441095890411</v>
      </c>
    </row>
    <row r="8" customFormat="false" ht="15" hidden="false" customHeight="false" outlineLevel="0" collapsed="false">
      <c r="A8" s="7"/>
      <c r="B8" s="7" t="s">
        <v>19</v>
      </c>
      <c r="C8" s="3" t="n">
        <f aca="false">AVERAGE(Dati_OPTN!C8:H8)</f>
        <v>19</v>
      </c>
      <c r="D8" s="3" t="n">
        <f aca="false">Tabella3[[#This Row],[p/anno (2014-2019)]]/365</f>
        <v>0.052054794520548</v>
      </c>
      <c r="E8" s="3" t="n">
        <f aca="false">AVERAGE(Dati_OPTN!I8:M8)</f>
        <v>16</v>
      </c>
      <c r="F8" s="3" t="n">
        <f aca="false">Tabella3[[#This Row],[p/anno (2009-2013)]]/365</f>
        <v>0.0438356164383562</v>
      </c>
    </row>
    <row r="9" customFormat="false" ht="15" hidden="false" customHeight="false" outlineLevel="0" collapsed="false">
      <c r="A9" s="7"/>
      <c r="B9" s="7" t="s">
        <v>21</v>
      </c>
      <c r="C9" s="3" t="n">
        <f aca="false">AVERAGE(Dati_OPTN!C9:H9)</f>
        <v>13753.3333333333</v>
      </c>
      <c r="D9" s="3" t="n">
        <f aca="false">Tabella3[[#This Row],[p/anno (2014-2019)]]/365</f>
        <v>37.6803652968037</v>
      </c>
      <c r="E9" s="3" t="n">
        <f aca="false">AVERAGE(Dati_OPTN!I9:M9)</f>
        <v>11798</v>
      </c>
      <c r="F9" s="3" t="n">
        <f aca="false">Tabella3[[#This Row],[p/anno (2009-2013)]]/365</f>
        <v>32.3232876712329</v>
      </c>
    </row>
    <row r="10" customFormat="false" ht="15" hidden="false" customHeight="false" outlineLevel="0" collapsed="false">
      <c r="A10" s="7"/>
      <c r="B10" s="7" t="s">
        <v>23</v>
      </c>
      <c r="C10" s="3" t="n">
        <f aca="false">AVERAGE(Dati_OPTN!C10:H10)</f>
        <v>4465</v>
      </c>
      <c r="D10" s="3" t="n">
        <f aca="false">Tabella3[[#This Row],[p/anno (2014-2019)]]/365</f>
        <v>12.2328767123288</v>
      </c>
      <c r="E10" s="3" t="n">
        <f aca="false">AVERAGE(Dati_OPTN!I10:M10)</f>
        <v>5149.8</v>
      </c>
      <c r="F10" s="3" t="n">
        <f aca="false">Tabella3[[#This Row],[p/anno (2009-2013)]]/365</f>
        <v>14.1090410958904</v>
      </c>
    </row>
    <row r="11" customFormat="false" ht="15" hidden="false" customHeight="false" outlineLevel="0" collapsed="false">
      <c r="A11" s="7" t="s">
        <v>25</v>
      </c>
      <c r="B11" s="7" t="s">
        <v>17</v>
      </c>
      <c r="C11" s="3" t="n">
        <f aca="false">AVERAGE(Dati_OPTN!C11:H11)</f>
        <v>12047.1666666667</v>
      </c>
      <c r="D11" s="3" t="n">
        <f aca="false">Tabella3[[#This Row],[p/anno (2014-2019)]]/365</f>
        <v>33.0059360730594</v>
      </c>
      <c r="E11" s="3" t="n">
        <f aca="false">AVERAGE(Dati_OPTN!I11:M11)</f>
        <v>11408.2</v>
      </c>
      <c r="F11" s="3" t="n">
        <f aca="false">Tabella3[[#This Row],[p/anno (2009-2013)]]/365</f>
        <v>31.2553424657534</v>
      </c>
    </row>
    <row r="12" customFormat="false" ht="15" hidden="false" customHeight="false" outlineLevel="0" collapsed="false">
      <c r="A12" s="7"/>
      <c r="B12" s="7" t="s">
        <v>19</v>
      </c>
      <c r="C12" s="3" t="n">
        <f aca="false">AVERAGE(Dati_OPTN!C12:H12)</f>
        <v>10.6666666666667</v>
      </c>
      <c r="D12" s="3" t="n">
        <f aca="false">Tabella3[[#This Row],[p/anno (2014-2019)]]/365</f>
        <v>0.0292237442922374</v>
      </c>
      <c r="E12" s="3" t="n">
        <f aca="false">AVERAGE(Dati_OPTN!I12:M12)</f>
        <v>8.6</v>
      </c>
      <c r="F12" s="3" t="n">
        <f aca="false">Tabella3[[#This Row],[p/anno (2009-2013)]]/365</f>
        <v>0.0235616438356164</v>
      </c>
    </row>
    <row r="13" customFormat="false" ht="15" hidden="false" customHeight="false" outlineLevel="0" collapsed="false">
      <c r="A13" s="7"/>
      <c r="B13" s="7" t="s">
        <v>21</v>
      </c>
      <c r="C13" s="3" t="n">
        <f aca="false">AVERAGE(Dati_OPTN!C13:H13)</f>
        <v>9003.16666666667</v>
      </c>
      <c r="D13" s="3" t="n">
        <f aca="false">Tabella3[[#This Row],[p/anno (2014-2019)]]/365</f>
        <v>24.6662100456621</v>
      </c>
      <c r="E13" s="3" t="n">
        <f aca="false">AVERAGE(Dati_OPTN!I13:M13)</f>
        <v>8030.6</v>
      </c>
      <c r="F13" s="3" t="n">
        <f aca="false">Tabella3[[#This Row],[p/anno (2009-2013)]]/365</f>
        <v>22.0016438356164</v>
      </c>
    </row>
    <row r="14" customFormat="false" ht="15" hidden="false" customHeight="false" outlineLevel="0" collapsed="false">
      <c r="A14" s="7"/>
      <c r="B14" s="7" t="s">
        <v>23</v>
      </c>
      <c r="C14" s="3" t="n">
        <f aca="false">AVERAGE(Dati_OPTN!C14:H14)</f>
        <v>3154.33333333333</v>
      </c>
      <c r="D14" s="3" t="n">
        <f aca="false">Tabella3[[#This Row],[p/anno (2014-2019)]]/365</f>
        <v>8.64200913242009</v>
      </c>
      <c r="E14" s="3" t="n">
        <f aca="false">AVERAGE(Dati_OPTN!I14:M14)</f>
        <v>3504</v>
      </c>
      <c r="F14" s="3" t="n">
        <f aca="false">Tabella3[[#This Row],[p/anno (2009-2013)]]/365</f>
        <v>9.6</v>
      </c>
    </row>
    <row r="15" customFormat="false" ht="15" hidden="false" customHeight="false" outlineLevel="0" collapsed="false">
      <c r="A15" s="7" t="s">
        <v>26</v>
      </c>
      <c r="B15" s="7" t="s">
        <v>17</v>
      </c>
      <c r="C15" s="3" t="n">
        <f aca="false">AVERAGE(Dati_OPTN!C15:H15)</f>
        <v>5505.16666666667</v>
      </c>
      <c r="D15" s="3" t="n">
        <f aca="false">Tabella3[[#This Row],[p/anno (2014-2019)]]/365</f>
        <v>15.0826484018265</v>
      </c>
      <c r="E15" s="3" t="n">
        <f aca="false">AVERAGE(Dati_OPTN!I15:M15)</f>
        <v>5062.4</v>
      </c>
      <c r="F15" s="3" t="n">
        <f aca="false">Tabella3[[#This Row],[p/anno (2009-2013)]]/365</f>
        <v>13.8695890410959</v>
      </c>
    </row>
    <row r="16" customFormat="false" ht="15" hidden="false" customHeight="false" outlineLevel="0" collapsed="false">
      <c r="A16" s="7"/>
      <c r="B16" s="7" t="s">
        <v>19</v>
      </c>
      <c r="C16" s="3" t="n">
        <f aca="false">AVERAGE(Dati_OPTN!C16:H16)</f>
        <v>6</v>
      </c>
      <c r="D16" s="3" t="n">
        <f aca="false">Tabella3[[#This Row],[p/anno (2014-2019)]]/365</f>
        <v>0.0164383561643836</v>
      </c>
      <c r="E16" s="3" t="n">
        <f aca="false">AVERAGE(Dati_OPTN!I16:M16)</f>
        <v>5.4</v>
      </c>
      <c r="F16" s="3" t="n">
        <f aca="false">Tabella3[[#This Row],[p/anno (2009-2013)]]/365</f>
        <v>0.0147945205479452</v>
      </c>
    </row>
    <row r="17" customFormat="false" ht="15" hidden="false" customHeight="false" outlineLevel="0" collapsed="false">
      <c r="A17" s="7"/>
      <c r="B17" s="7" t="s">
        <v>21</v>
      </c>
      <c r="C17" s="3" t="n">
        <f aca="false">AVERAGE(Dati_OPTN!C17:H17)</f>
        <v>4198</v>
      </c>
      <c r="D17" s="3" t="n">
        <f aca="false">Tabella3[[#This Row],[p/anno (2014-2019)]]/365</f>
        <v>11.5013698630137</v>
      </c>
      <c r="E17" s="3" t="n">
        <f aca="false">AVERAGE(Dati_OPTN!I17:M17)</f>
        <v>3542</v>
      </c>
      <c r="F17" s="3" t="n">
        <f aca="false">Tabella3[[#This Row],[p/anno (2009-2013)]]/365</f>
        <v>9.7041095890411</v>
      </c>
    </row>
    <row r="18" customFormat="false" ht="15" hidden="false" customHeight="false" outlineLevel="0" collapsed="false">
      <c r="A18" s="7"/>
      <c r="B18" s="7" t="s">
        <v>23</v>
      </c>
      <c r="C18" s="3" t="n">
        <f aca="false">AVERAGE(Dati_OPTN!C18:H18)</f>
        <v>1359.5</v>
      </c>
      <c r="D18" s="3" t="n">
        <f aca="false">Tabella3[[#This Row],[p/anno (2014-2019)]]/365</f>
        <v>3.72465753424658</v>
      </c>
      <c r="E18" s="3" t="n">
        <f aca="false">AVERAGE(Dati_OPTN!I18:M18)</f>
        <v>1582.4</v>
      </c>
      <c r="F18" s="3" t="n">
        <f aca="false">Tabella3[[#This Row],[p/anno (2009-2013)]]/365</f>
        <v>4.33534246575343</v>
      </c>
    </row>
    <row r="19" customFormat="false" ht="15" hidden="false" customHeight="false" outlineLevel="0" collapsed="false">
      <c r="A19" s="7" t="s">
        <v>27</v>
      </c>
      <c r="B19" s="7" t="s">
        <v>17</v>
      </c>
      <c r="C19" s="3" t="n">
        <f aca="false">AVERAGE(Dati_OPTN!C19:H19)</f>
        <v>1410.83333333333</v>
      </c>
      <c r="D19" s="3" t="n">
        <f aca="false">Tabella3[[#This Row],[p/anno (2014-2019)]]/365</f>
        <v>3.86529680365297</v>
      </c>
      <c r="E19" s="3" t="n">
        <f aca="false">AVERAGE(Dati_OPTN!I19:M19)</f>
        <v>1327</v>
      </c>
      <c r="F19" s="3" t="n">
        <f aca="false">Tabella3[[#This Row],[p/anno (2009-2013)]]/365</f>
        <v>3.63561643835616</v>
      </c>
    </row>
    <row r="20" customFormat="false" ht="13.8" hidden="false" customHeight="false" outlineLevel="0" collapsed="false">
      <c r="A20" s="7"/>
      <c r="B20" s="7" t="s">
        <v>19</v>
      </c>
      <c r="C20" s="3" t="n">
        <f aca="false">AVERAGE(Dati_OPTN!C20:H20)</f>
        <v>1.66666666666667</v>
      </c>
      <c r="D20" s="8" t="n">
        <f aca="false">Tabella3[[#This Row],[p/anno (2014-2019)]]/365</f>
        <v>0.0045662100456621</v>
      </c>
      <c r="E20" s="3" t="n">
        <f aca="false">AVERAGE(Dati_OPTN!I20:M20)</f>
        <v>1</v>
      </c>
      <c r="F20" s="3" t="n">
        <f aca="false">Tabella3[[#This Row],[p/anno (2009-2013)]]/365</f>
        <v>0.00273972602739726</v>
      </c>
    </row>
    <row r="21" customFormat="false" ht="15" hidden="false" customHeight="false" outlineLevel="0" collapsed="false">
      <c r="A21" s="7"/>
      <c r="B21" s="7" t="s">
        <v>21</v>
      </c>
      <c r="C21" s="3" t="n">
        <f aca="false">AVERAGE(Dati_OPTN!C21:H21)</f>
        <v>1051.16666666667</v>
      </c>
      <c r="D21" s="3" t="n">
        <f aca="false">Tabella3[[#This Row],[p/anno (2014-2019)]]/365</f>
        <v>2.87990867579909</v>
      </c>
      <c r="E21" s="3" t="n">
        <f aca="false">AVERAGE(Dati_OPTN!I21:M21)</f>
        <v>913</v>
      </c>
      <c r="F21" s="3" t="n">
        <f aca="false">Tabella3[[#This Row],[p/anno (2009-2013)]]/365</f>
        <v>2.5013698630137</v>
      </c>
    </row>
    <row r="22" customFormat="false" ht="15" hidden="false" customHeight="false" outlineLevel="0" collapsed="false">
      <c r="A22" s="7"/>
      <c r="B22" s="7" t="s">
        <v>23</v>
      </c>
      <c r="C22" s="3" t="n">
        <f aca="false">AVERAGE(Dati_OPTN!C22:H22)</f>
        <v>372</v>
      </c>
      <c r="D22" s="3" t="n">
        <f aca="false">Tabella3[[#This Row],[p/anno (2014-2019)]]/365</f>
        <v>1.01917808219178</v>
      </c>
      <c r="E22" s="3" t="n">
        <f aca="false">AVERAGE(Dati_OPTN!I22:M22)</f>
        <v>429.6</v>
      </c>
      <c r="F22" s="3" t="n">
        <f aca="false">Tabella3[[#This Row],[p/anno (2009-2013)]]/365</f>
        <v>1.17698630136986</v>
      </c>
    </row>
    <row r="23" customFormat="false" ht="15.75" hidden="false" customHeight="false" outlineLevel="0" collapsed="false">
      <c r="A23" s="7"/>
      <c r="B23" s="7"/>
    </row>
    <row r="24" customFormat="false" ht="15.75" hidden="false" customHeight="false" outlineLevel="0" collapsed="false">
      <c r="A24" s="6" t="s">
        <v>1</v>
      </c>
      <c r="B24" s="6"/>
      <c r="C24" s="6"/>
      <c r="D24" s="6"/>
      <c r="E24" s="6"/>
      <c r="F24" s="6"/>
    </row>
    <row r="25" customFormat="false" ht="15" hidden="false" customHeight="false" outlineLevel="0" collapsed="false">
      <c r="A25" s="7" t="s">
        <v>2</v>
      </c>
      <c r="B25" s="7" t="s">
        <v>42</v>
      </c>
      <c r="C25" s="7" t="s">
        <v>43</v>
      </c>
      <c r="D25" s="7" t="s">
        <v>44</v>
      </c>
      <c r="E25" s="7" t="s">
        <v>45</v>
      </c>
      <c r="F25" s="7" t="s">
        <v>46</v>
      </c>
    </row>
    <row r="26" customFormat="false" ht="15" hidden="false" customHeight="false" outlineLevel="0" collapsed="false">
      <c r="A26" s="0" t="s">
        <v>16</v>
      </c>
      <c r="B26" s="0" t="s">
        <v>18</v>
      </c>
      <c r="C26" s="3" t="n">
        <f aca="false">AVERAGE(Dati_OPTN!Q3:V3)</f>
        <v>15244.1666666667</v>
      </c>
      <c r="D26" s="3" t="n">
        <f aca="false">C26/365</f>
        <v>41.7648401826484</v>
      </c>
      <c r="E26" s="3" t="n">
        <f aca="false">AVERAGE(Dati_OPTN!W3:AA3)</f>
        <v>13336.8</v>
      </c>
      <c r="F26" s="3" t="n">
        <f aca="false">E26/365</f>
        <v>36.5391780821918</v>
      </c>
    </row>
    <row r="27" customFormat="false" ht="15" hidden="false" customHeight="false" outlineLevel="0" collapsed="false">
      <c r="B27" s="0" t="s">
        <v>20</v>
      </c>
      <c r="C27" s="3" t="n">
        <f aca="false">AVERAGE(Dati_OPTN!Q4:V4)</f>
        <v>9258.16666666667</v>
      </c>
      <c r="D27" s="3" t="n">
        <f aca="false">C27/365</f>
        <v>25.3648401826484</v>
      </c>
      <c r="E27" s="3" t="n">
        <f aca="false">AVERAGE(Dati_OPTN!W4:AA4)</f>
        <v>7378.4</v>
      </c>
      <c r="F27" s="3" t="n">
        <f aca="false">E27/365</f>
        <v>20.2147945205479</v>
      </c>
    </row>
    <row r="28" customFormat="false" ht="15" hidden="false" customHeight="false" outlineLevel="0" collapsed="false">
      <c r="B28" s="0" t="s">
        <v>22</v>
      </c>
      <c r="C28" s="3" t="n">
        <f aca="false">AVERAGE(Dati_OPTN!Q5:V5)</f>
        <v>5986</v>
      </c>
      <c r="D28" s="3" t="n">
        <f aca="false">C28/365</f>
        <v>16.4</v>
      </c>
      <c r="E28" s="3" t="n">
        <f aca="false">AVERAGE(Dati_OPTN!W5:AA5)</f>
        <v>5958.4</v>
      </c>
      <c r="F28" s="3" t="n">
        <f aca="false">E28/365</f>
        <v>16.3243835616438</v>
      </c>
    </row>
    <row r="29" customFormat="false" ht="15" hidden="false" customHeight="false" outlineLevel="0" collapsed="false">
      <c r="A29" s="0" t="s">
        <v>24</v>
      </c>
      <c r="B29" s="0" t="s">
        <v>18</v>
      </c>
      <c r="C29" s="3" t="n">
        <f aca="false">AVERAGE(Dati_OPTN!Q6:V6)</f>
        <v>8180.33333333333</v>
      </c>
      <c r="D29" s="3" t="n">
        <f aca="false">C29/365</f>
        <v>22.4118721461187</v>
      </c>
      <c r="E29" s="3" t="n">
        <f aca="false">AVERAGE(Dati_OPTN!W6:AA6)</f>
        <v>7320.6</v>
      </c>
      <c r="F29" s="3" t="n">
        <f aca="false">E29/365</f>
        <v>20.0564383561644</v>
      </c>
    </row>
    <row r="30" customFormat="false" ht="15" hidden="false" customHeight="false" outlineLevel="0" collapsed="false">
      <c r="B30" s="0" t="s">
        <v>20</v>
      </c>
      <c r="C30" s="3" t="n">
        <f aca="false">AVERAGE(Dati_OPTN!Q7:V7)</f>
        <v>4419</v>
      </c>
      <c r="D30" s="3" t="n">
        <f aca="false">C30/365</f>
        <v>12.1068493150685</v>
      </c>
      <c r="E30" s="3" t="n">
        <f aca="false">AVERAGE(Dati_OPTN!W7:AA7)</f>
        <v>3510</v>
      </c>
      <c r="F30" s="3" t="n">
        <f aca="false">E30/365</f>
        <v>9.61643835616438</v>
      </c>
    </row>
    <row r="31" customFormat="false" ht="15" hidden="false" customHeight="false" outlineLevel="0" collapsed="false">
      <c r="B31" s="0" t="s">
        <v>22</v>
      </c>
      <c r="C31" s="3" t="n">
        <f aca="false">AVERAGE(Dati_OPTN!Q8:V8)</f>
        <v>3761.33333333333</v>
      </c>
      <c r="D31" s="3" t="n">
        <f aca="false">C31/365</f>
        <v>10.3050228310502</v>
      </c>
      <c r="E31" s="3" t="n">
        <f aca="false">AVERAGE(Dati_OPTN!W8:AA8)</f>
        <v>3810.6</v>
      </c>
      <c r="F31" s="3" t="n">
        <f aca="false">E31/365</f>
        <v>10.44</v>
      </c>
    </row>
    <row r="32" customFormat="false" ht="15" hidden="false" customHeight="false" outlineLevel="0" collapsed="false">
      <c r="A32" s="0" t="s">
        <v>25</v>
      </c>
      <c r="B32" s="0" t="s">
        <v>18</v>
      </c>
      <c r="C32" s="3" t="n">
        <f aca="false">AVERAGE(Dati_OPTN!Q9:V9)</f>
        <v>5087.5</v>
      </c>
      <c r="D32" s="3" t="n">
        <f aca="false">C32/365</f>
        <v>13.9383561643836</v>
      </c>
      <c r="E32" s="3" t="n">
        <f aca="false">AVERAGE(Dati_OPTN!W9:AA9)</f>
        <v>4323.8</v>
      </c>
      <c r="F32" s="3" t="n">
        <f aca="false">E32/365</f>
        <v>11.8460273972603</v>
      </c>
    </row>
    <row r="33" customFormat="false" ht="15" hidden="false" customHeight="false" outlineLevel="0" collapsed="false">
      <c r="B33" s="0" t="s">
        <v>20</v>
      </c>
      <c r="C33" s="3" t="n">
        <f aca="false">AVERAGE(Dati_OPTN!Q10:V10)</f>
        <v>3430.5</v>
      </c>
      <c r="D33" s="3" t="n">
        <f aca="false">C33/365</f>
        <v>9.3986301369863</v>
      </c>
      <c r="E33" s="3" t="n">
        <f aca="false">AVERAGE(Dati_OPTN!W10:AA10)</f>
        <v>2731.2</v>
      </c>
      <c r="F33" s="3" t="n">
        <f aca="false">E33/365</f>
        <v>7.4827397260274</v>
      </c>
    </row>
    <row r="34" customFormat="false" ht="15" hidden="false" customHeight="false" outlineLevel="0" collapsed="false">
      <c r="B34" s="0" t="s">
        <v>22</v>
      </c>
      <c r="C34" s="3" t="n">
        <f aca="false">AVERAGE(Dati_OPTN!Q11:V11)</f>
        <v>1657</v>
      </c>
      <c r="D34" s="3" t="n">
        <f aca="false">C34/365</f>
        <v>4.53972602739726</v>
      </c>
      <c r="E34" s="3" t="n">
        <f aca="false">AVERAGE(Dati_OPTN!W11:AA11)</f>
        <v>1592.6</v>
      </c>
      <c r="F34" s="3" t="n">
        <f aca="false">E34/365</f>
        <v>4.36328767123288</v>
      </c>
    </row>
    <row r="35" customFormat="false" ht="15" hidden="false" customHeight="false" outlineLevel="0" collapsed="false">
      <c r="A35" s="0" t="s">
        <v>26</v>
      </c>
      <c r="B35" s="0" t="s">
        <v>18</v>
      </c>
      <c r="C35" s="3" t="n">
        <f aca="false">AVERAGE(Dati_OPTN!Q12:V12)</f>
        <v>1578.33333333333</v>
      </c>
      <c r="D35" s="3" t="n">
        <f aca="false">C35/365</f>
        <v>4.32420091324201</v>
      </c>
      <c r="E35" s="3" t="n">
        <f aca="false">AVERAGE(Dati_OPTN!W12:AA12)</f>
        <v>1377.6</v>
      </c>
      <c r="F35" s="3" t="n">
        <f aca="false">E35/365</f>
        <v>3.77424657534247</v>
      </c>
    </row>
    <row r="36" customFormat="false" ht="15" hidden="false" customHeight="false" outlineLevel="0" collapsed="false">
      <c r="B36" s="0" t="s">
        <v>20</v>
      </c>
      <c r="C36" s="3" t="n">
        <f aca="false">AVERAGE(Dati_OPTN!Q13:V13)</f>
        <v>1090.5</v>
      </c>
      <c r="D36" s="3" t="n">
        <f aca="false">C36/365</f>
        <v>2.98767123287671</v>
      </c>
      <c r="E36" s="3" t="n">
        <f aca="false">AVERAGE(Dati_OPTN!W13:AA13)</f>
        <v>888.8</v>
      </c>
      <c r="F36" s="3" t="n">
        <f aca="false">E36/365</f>
        <v>2.43506849315068</v>
      </c>
    </row>
    <row r="37" customFormat="false" ht="15" hidden="false" customHeight="false" outlineLevel="0" collapsed="false">
      <c r="B37" s="0" t="s">
        <v>22</v>
      </c>
      <c r="C37" s="3" t="n">
        <f aca="false">AVERAGE(Dati_OPTN!Q14:V14)</f>
        <v>487.833333333333</v>
      </c>
      <c r="D37" s="3" t="n">
        <f aca="false">C37/365</f>
        <v>1.3365296803653</v>
      </c>
      <c r="E37" s="3" t="n">
        <f aca="false">AVERAGE(Dati_OPTN!W14:AA14)</f>
        <v>488.8</v>
      </c>
      <c r="F37" s="3" t="n">
        <f aca="false">E37/365</f>
        <v>1.33917808219178</v>
      </c>
    </row>
    <row r="38" customFormat="false" ht="15" hidden="false" customHeight="false" outlineLevel="0" collapsed="false">
      <c r="A38" s="0" t="s">
        <v>27</v>
      </c>
      <c r="B38" s="0" t="s">
        <v>18</v>
      </c>
      <c r="C38" s="3" t="n">
        <f aca="false">AVERAGE(Dati_OPTN!Q15:V15)</f>
        <v>398</v>
      </c>
      <c r="D38" s="3" t="n">
        <f aca="false">C38/365</f>
        <v>1.09041095890411</v>
      </c>
      <c r="E38" s="3" t="n">
        <f aca="false">AVERAGE(Dati_OPTN!W15:AA15)</f>
        <v>314.8</v>
      </c>
      <c r="F38" s="3" t="n">
        <f aca="false">E38/365</f>
        <v>0.862465753424658</v>
      </c>
    </row>
    <row r="39" customFormat="false" ht="15" hidden="false" customHeight="false" outlineLevel="0" collapsed="false">
      <c r="B39" s="0" t="s">
        <v>20</v>
      </c>
      <c r="C39" s="3" t="n">
        <f aca="false">AVERAGE(Dati_OPTN!Q16:V16)</f>
        <v>318.166666666667</v>
      </c>
      <c r="D39" s="3" t="n">
        <f aca="false">C39/365</f>
        <v>0.871689497716895</v>
      </c>
      <c r="E39" s="3" t="n">
        <f aca="false">AVERAGE(Dati_OPTN!W16:AA16)</f>
        <v>248.4</v>
      </c>
      <c r="F39" s="3" t="n">
        <f aca="false">E39/365</f>
        <v>0.680547945205479</v>
      </c>
    </row>
    <row r="40" customFormat="false" ht="15" hidden="false" customHeight="false" outlineLevel="0" collapsed="false">
      <c r="B40" s="0" t="s">
        <v>22</v>
      </c>
      <c r="C40" s="3" t="n">
        <f aca="false">AVERAGE(Dati_OPTN!Q17:V17)</f>
        <v>79.8333333333333</v>
      </c>
      <c r="D40" s="3" t="n">
        <f aca="false">C40/365</f>
        <v>0.218721461187215</v>
      </c>
      <c r="E40" s="3" t="n">
        <f aca="false">AVERAGE(Dati_OPTN!W17:AA17)</f>
        <v>66.4</v>
      </c>
      <c r="F40" s="3" t="n">
        <f aca="false">E40/365</f>
        <v>0.181917808219178</v>
      </c>
    </row>
  </sheetData>
  <mergeCells count="2">
    <mergeCell ref="A1:F1"/>
    <mergeCell ref="A24:F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44" activeCellId="0" sqref="D44"/>
    </sheetView>
  </sheetViews>
  <sheetFormatPr defaultColWidth="9.183593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5.42"/>
    <col collapsed="false" customWidth="true" hidden="false" outlineLevel="0" max="3" min="3" style="0" width="24.57"/>
    <col collapsed="false" customWidth="true" hidden="false" outlineLevel="0" max="4" min="4" style="0" width="24.71"/>
    <col collapsed="false" customWidth="true" hidden="false" outlineLevel="0" max="5" min="5" style="0" width="19.31"/>
    <col collapsed="false" customWidth="true" hidden="false" outlineLevel="0" max="6" min="6" style="0" width="16.29"/>
    <col collapsed="false" customWidth="true" hidden="false" outlineLevel="0" max="7" min="7" style="0" width="16.14"/>
    <col collapsed="false" customWidth="true" hidden="false" outlineLevel="0" max="8" min="8" style="0" width="11.42"/>
    <col collapsed="false" customWidth="true" hidden="false" outlineLevel="0" max="9" min="9" style="0" width="21.43"/>
    <col collapsed="false" customWidth="true" hidden="false" outlineLevel="0" max="10" min="10" style="0" width="21.57"/>
    <col collapsed="false" customWidth="true" hidden="false" outlineLevel="0" max="11" min="11" style="0" width="11.86"/>
    <col collapsed="false" customWidth="true" hidden="false" outlineLevel="0" max="14" min="14" style="0" width="11.71"/>
  </cols>
  <sheetData>
    <row r="1" customFormat="false" ht="15" hidden="false" customHeight="false" outlineLevel="0" collapsed="false">
      <c r="A1" s="9" t="s">
        <v>28</v>
      </c>
      <c r="B1" s="9"/>
      <c r="C1" s="9"/>
      <c r="D1" s="9"/>
      <c r="E1" s="9"/>
    </row>
    <row r="2" customFormat="false" ht="15" hidden="false" customHeight="false" outlineLevel="0" collapsed="false">
      <c r="A2" s="10" t="s">
        <v>2</v>
      </c>
      <c r="B2" s="10" t="s">
        <v>3</v>
      </c>
      <c r="C2" s="10" t="s">
        <v>47</v>
      </c>
      <c r="D2" s="10" t="s">
        <v>48</v>
      </c>
      <c r="E2" s="10" t="s">
        <v>49</v>
      </c>
    </row>
    <row r="3" customFormat="false" ht="15" hidden="false" customHeight="false" outlineLevel="0" collapsed="false">
      <c r="A3" s="7" t="s">
        <v>16</v>
      </c>
      <c r="B3" s="7" t="s">
        <v>17</v>
      </c>
      <c r="C3" s="11" t="n">
        <f aca="false">AVERAGE(Dati_OPTN!C26:H26)</f>
        <v>4418.5</v>
      </c>
      <c r="D3" s="11" t="n">
        <f aca="false">Tabella5[[#This Row],[d/anno (2014-2019)]]/365</f>
        <v>12.1054794520548</v>
      </c>
      <c r="E3" s="11" t="n">
        <f aca="false">Tabella5[[#This Row],[d/anno (2014-2019)]]/Tabella3[[#This Row],[p/anno (2014-2019)]]</f>
        <v>0.119366763171047</v>
      </c>
    </row>
    <row r="4" customFormat="false" ht="15" hidden="false" customHeight="false" outlineLevel="0" collapsed="false">
      <c r="A4" s="7"/>
      <c r="B4" s="7" t="s">
        <v>19</v>
      </c>
      <c r="C4" s="11" t="n">
        <f aca="false">AVERAGE(Dati_OPTN!C27:H27)</f>
        <v>1.33333333333333</v>
      </c>
      <c r="D4" s="11" t="n">
        <f aca="false">Tabella5[[#This Row],[d/anno (2014-2019)]]/365</f>
        <v>0.00365296803652968</v>
      </c>
      <c r="E4" s="11" t="n">
        <f aca="false">Tabella5[[#This Row],[d/anno (2014-2019)]]/Tabella3[[#This Row],[p/anno (2014-2019)]]</f>
        <v>0.0357142857142857</v>
      </c>
    </row>
    <row r="5" customFormat="false" ht="15" hidden="false" customHeight="false" outlineLevel="0" collapsed="false">
      <c r="A5" s="7"/>
      <c r="B5" s="7" t="s">
        <v>21</v>
      </c>
      <c r="C5" s="11" t="n">
        <f aca="false">AVERAGE(Dati_OPTN!C28:H28)</f>
        <v>1681</v>
      </c>
      <c r="D5" s="11" t="n">
        <f aca="false">Tabella5[[#This Row],[d/anno (2014-2019)]]/365</f>
        <v>4.60547945205479</v>
      </c>
      <c r="E5" s="11" t="n">
        <f aca="false">Tabella5[[#This Row],[d/anno (2014-2019)]]/Tabella3[[#This Row],[p/anno (2014-2019)]]</f>
        <v>0.0600253527664867</v>
      </c>
    </row>
    <row r="6" customFormat="false" ht="15" hidden="false" customHeight="false" outlineLevel="0" collapsed="false">
      <c r="A6" s="7"/>
      <c r="B6" s="7" t="s">
        <v>23</v>
      </c>
      <c r="C6" s="11" t="n">
        <f aca="false">AVERAGE(Dati_OPTN!C29:H29)</f>
        <v>2813.5</v>
      </c>
      <c r="D6" s="11" t="n">
        <f aca="false">Tabella5[[#This Row],[d/anno (2014-2019)]]/365</f>
        <v>7.70821917808219</v>
      </c>
      <c r="E6" s="11" t="n">
        <f aca="false">Tabella5[[#This Row],[d/anno (2014-2019)]]/Tabella3[[#This Row],[p/anno (2014-2019)]]</f>
        <v>0.300882274307103</v>
      </c>
    </row>
    <row r="7" customFormat="false" ht="15" hidden="false" customHeight="false" outlineLevel="0" collapsed="false">
      <c r="A7" s="7" t="s">
        <v>24</v>
      </c>
      <c r="B7" s="7" t="s">
        <v>17</v>
      </c>
      <c r="C7" s="11" t="n">
        <f aca="false">AVERAGE(Dati_OPTN!C30:H30)</f>
        <v>2313.5</v>
      </c>
      <c r="D7" s="11" t="n">
        <f aca="false">Tabella5[[#This Row],[d/anno (2014-2019)]]/365</f>
        <v>6.33835616438356</v>
      </c>
      <c r="E7" s="11" t="n">
        <f aca="false">Tabella5[[#This Row],[d/anno (2014-2019)]]/Tabella3[[#This Row],[p/anno (2014-2019)]]</f>
        <v>0.128145713705434</v>
      </c>
    </row>
    <row r="8" customFormat="false" ht="15" hidden="false" customHeight="false" outlineLevel="0" collapsed="false">
      <c r="A8" s="7"/>
      <c r="B8" s="7" t="s">
        <v>19</v>
      </c>
      <c r="C8" s="11" t="n">
        <f aca="false">AVERAGE(Dati_OPTN!C31:H31)</f>
        <v>1</v>
      </c>
      <c r="D8" s="11" t="n">
        <f aca="false">Tabella5[[#This Row],[d/anno (2014-2019)]]/365</f>
        <v>0.00273972602739726</v>
      </c>
      <c r="E8" s="11" t="n">
        <f aca="false">Tabella5[[#This Row],[d/anno (2014-2019)]]/Tabella3[[#This Row],[p/anno (2014-2019)]]</f>
        <v>0.0526315789473684</v>
      </c>
    </row>
    <row r="9" customFormat="false" ht="15" hidden="false" customHeight="false" outlineLevel="0" collapsed="false">
      <c r="A9" s="7"/>
      <c r="B9" s="7" t="s">
        <v>21</v>
      </c>
      <c r="C9" s="11" t="n">
        <f aca="false">AVERAGE(Dati_OPTN!C32:H32)</f>
        <v>913.833333333333</v>
      </c>
      <c r="D9" s="11" t="n">
        <f aca="false">Tabella5[[#This Row],[d/anno (2014-2019)]]/365</f>
        <v>2.50365296803653</v>
      </c>
      <c r="E9" s="11" t="n">
        <f aca="false">Tabella5[[#This Row],[d/anno (2014-2019)]]/Tabella3[[#This Row],[p/anno (2014-2019)]]</f>
        <v>0.0664444983034416</v>
      </c>
    </row>
    <row r="10" customFormat="false" ht="15" hidden="false" customHeight="false" outlineLevel="0" collapsed="false">
      <c r="A10" s="7"/>
      <c r="B10" s="7" t="s">
        <v>23</v>
      </c>
      <c r="C10" s="11" t="n">
        <f aca="false">AVERAGE(Dati_OPTN!C33:H33)</f>
        <v>1440.66666666667</v>
      </c>
      <c r="D10" s="11" t="n">
        <f aca="false">Tabella5[[#This Row],[d/anno (2014-2019)]]/365</f>
        <v>3.94703196347032</v>
      </c>
      <c r="E10" s="11" t="n">
        <f aca="false">Tabella5[[#This Row],[d/anno (2014-2019)]]/Tabella3[[#This Row],[p/anno (2014-2019)]]</f>
        <v>0.322657708100037</v>
      </c>
    </row>
    <row r="11" customFormat="false" ht="15" hidden="false" customHeight="false" outlineLevel="0" collapsed="false">
      <c r="A11" s="7" t="s">
        <v>25</v>
      </c>
      <c r="B11" s="7" t="s">
        <v>17</v>
      </c>
      <c r="C11" s="11" t="n">
        <f aca="false">AVERAGE(Dati_OPTN!C34:H34)</f>
        <v>1276.83333333333</v>
      </c>
      <c r="D11" s="11" t="n">
        <f aca="false">Tabella5[[#This Row],[d/anno (2014-2019)]]/365</f>
        <v>3.49817351598173</v>
      </c>
      <c r="E11" s="11" t="n">
        <f aca="false">Tabella5[[#This Row],[d/anno (2014-2019)]]/Tabella3[[#This Row],[p/anno (2014-2019)]]</f>
        <v>0.105986193157451</v>
      </c>
    </row>
    <row r="12" customFormat="false" ht="15" hidden="false" customHeight="false" outlineLevel="0" collapsed="false">
      <c r="A12" s="7"/>
      <c r="B12" s="7" t="s">
        <v>19</v>
      </c>
      <c r="C12" s="11" t="n">
        <f aca="false">AVERAGE(Dati_OPTN!C35:H35)</f>
        <v>0.333333333333333</v>
      </c>
      <c r="D12" s="11" t="n">
        <f aca="false">Tabella5[[#This Row],[d/anno (2014-2019)]]/365</f>
        <v>0.00091324200913242</v>
      </c>
      <c r="E12" s="11" t="n">
        <f aca="false">Tabella5[[#This Row],[d/anno (2014-2019)]]/Tabella3[[#This Row],[p/anno (2014-2019)]]</f>
        <v>0.03125</v>
      </c>
    </row>
    <row r="13" customFormat="false" ht="15" hidden="false" customHeight="false" outlineLevel="0" collapsed="false">
      <c r="A13" s="7"/>
      <c r="B13" s="7" t="s">
        <v>21</v>
      </c>
      <c r="C13" s="11" t="n">
        <f aca="false">AVERAGE(Dati_OPTN!C36:H36)</f>
        <v>445.5</v>
      </c>
      <c r="D13" s="11" t="n">
        <f aca="false">Tabella5[[#This Row],[d/anno (2014-2019)]]/365</f>
        <v>1.22054794520548</v>
      </c>
      <c r="E13" s="11" t="n">
        <f aca="false">Tabella5[[#This Row],[d/anno (2014-2019)]]/Tabella3[[#This Row],[p/anno (2014-2019)]]</f>
        <v>0.0494825894592643</v>
      </c>
    </row>
    <row r="14" customFormat="false" ht="15" hidden="false" customHeight="false" outlineLevel="0" collapsed="false">
      <c r="A14" s="7"/>
      <c r="B14" s="7" t="s">
        <v>23</v>
      </c>
      <c r="C14" s="11" t="n">
        <f aca="false">AVERAGE(Dati_OPTN!C37:H37)</f>
        <v>848.166666666667</v>
      </c>
      <c r="D14" s="11" t="n">
        <f aca="false">Tabella5[[#This Row],[d/anno (2014-2019)]]/365</f>
        <v>2.32374429223744</v>
      </c>
      <c r="E14" s="11" t="n">
        <f aca="false">Tabella5[[#This Row],[d/anno (2014-2019)]]/Tabella3[[#This Row],[p/anno (2014-2019)]]</f>
        <v>0.26888935855437</v>
      </c>
    </row>
    <row r="15" customFormat="false" ht="15" hidden="false" customHeight="false" outlineLevel="0" collapsed="false">
      <c r="A15" s="7" t="s">
        <v>26</v>
      </c>
      <c r="B15" s="7" t="s">
        <v>17</v>
      </c>
      <c r="C15" s="11" t="n">
        <f aca="false">AVERAGE(Dati_OPTN!C38:H38)</f>
        <v>708.833333333333</v>
      </c>
      <c r="D15" s="11" t="n">
        <f aca="false">Tabella5[[#This Row],[d/anno (2014-2019)]]/365</f>
        <v>1.94200913242009</v>
      </c>
      <c r="E15" s="11" t="n">
        <f aca="false">Tabella5[[#This Row],[d/anno (2014-2019)]]/Tabella3[[#This Row],[p/anno (2014-2019)]]</f>
        <v>0.128757833550301</v>
      </c>
    </row>
    <row r="16" customFormat="false" ht="15" hidden="false" customHeight="false" outlineLevel="0" collapsed="false">
      <c r="A16" s="7"/>
      <c r="B16" s="7" t="s">
        <v>19</v>
      </c>
      <c r="C16" s="11" t="n">
        <f aca="false">AVERAGE(Dati_OPTN!C39:H39)</f>
        <v>0</v>
      </c>
      <c r="D16" s="11" t="n">
        <f aca="false">Tabella5[[#This Row],[d/anno (2014-2019)]]/365</f>
        <v>0</v>
      </c>
      <c r="E16" s="11" t="n">
        <f aca="false">Tabella5[[#This Row],[d/anno (2014-2019)]]/Tabella3[[#This Row],[p/anno (2014-2019)]]</f>
        <v>0</v>
      </c>
    </row>
    <row r="17" customFormat="false" ht="15" hidden="false" customHeight="false" outlineLevel="0" collapsed="false">
      <c r="A17" s="7"/>
      <c r="B17" s="7" t="s">
        <v>21</v>
      </c>
      <c r="C17" s="11" t="n">
        <f aca="false">AVERAGE(Dati_OPTN!C40:H40)</f>
        <v>283.166666666667</v>
      </c>
      <c r="D17" s="11" t="n">
        <f aca="false">Tabella5[[#This Row],[d/anno (2014-2019)]]/365</f>
        <v>0.775799086757991</v>
      </c>
      <c r="E17" s="11" t="n">
        <f aca="false">Tabella5[[#This Row],[d/anno (2014-2019)]]/Tabella3[[#This Row],[p/anno (2014-2019)]]</f>
        <v>0.0674527552802922</v>
      </c>
    </row>
    <row r="18" customFormat="false" ht="15" hidden="false" customHeight="false" outlineLevel="0" collapsed="false">
      <c r="A18" s="7"/>
      <c r="B18" s="7" t="s">
        <v>23</v>
      </c>
      <c r="C18" s="11" t="n">
        <f aca="false">AVERAGE(Dati_OPTN!C41:H41)</f>
        <v>442.5</v>
      </c>
      <c r="D18" s="11" t="n">
        <f aca="false">Tabella5[[#This Row],[d/anno (2014-2019)]]/365</f>
        <v>1.21232876712329</v>
      </c>
      <c r="E18" s="11" t="n">
        <f aca="false">Tabella5[[#This Row],[d/anno (2014-2019)]]/Tabella3[[#This Row],[p/anno (2014-2019)]]</f>
        <v>0.325487311511585</v>
      </c>
      <c r="J18" s="12"/>
      <c r="K18" s="12"/>
      <c r="L18" s="12"/>
      <c r="M18" s="12"/>
    </row>
    <row r="19" customFormat="false" ht="15" hidden="false" customHeight="false" outlineLevel="0" collapsed="false">
      <c r="A19" s="7" t="s">
        <v>27</v>
      </c>
      <c r="B19" s="7" t="s">
        <v>17</v>
      </c>
      <c r="C19" s="11" t="n">
        <f aca="false">AVERAGE(Dati_OPTN!C42:H42)</f>
        <v>119.333333333333</v>
      </c>
      <c r="D19" s="11" t="n">
        <f aca="false">Tabella5[[#This Row],[d/anno (2014-2019)]]/365</f>
        <v>0.326940639269406</v>
      </c>
      <c r="E19" s="11" t="n">
        <f aca="false">Tabella5[[#This Row],[d/anno (2014-2019)]]/Tabella3[[#This Row],[p/anno (2014-2019)]]</f>
        <v>0.0845835794447726</v>
      </c>
      <c r="J19" s="12"/>
      <c r="K19" s="12"/>
      <c r="L19" s="12"/>
      <c r="M19" s="12"/>
    </row>
    <row r="20" customFormat="false" ht="15" hidden="false" customHeight="false" outlineLevel="0" collapsed="false">
      <c r="A20" s="7"/>
      <c r="B20" s="7" t="s">
        <v>19</v>
      </c>
      <c r="C20" s="11" t="n">
        <f aca="false">AVERAGE(Dati_OPTN!C43:H43)</f>
        <v>0</v>
      </c>
      <c r="D20" s="11" t="n">
        <f aca="false">Tabella5[[#This Row],[d/anno (2014-2019)]]/365</f>
        <v>0</v>
      </c>
      <c r="E20" s="11" t="n">
        <f aca="false">Tabella5[[#This Row],[d/anno (2014-2019)]]/Tabella3[[#This Row],[p/anno (2014-2019)]]</f>
        <v>0</v>
      </c>
      <c r="J20" s="12"/>
      <c r="K20" s="12"/>
      <c r="L20" s="12"/>
      <c r="M20" s="12"/>
    </row>
    <row r="21" customFormat="false" ht="15" hidden="false" customHeight="false" outlineLevel="0" collapsed="false">
      <c r="A21" s="7"/>
      <c r="B21" s="7" t="s">
        <v>21</v>
      </c>
      <c r="C21" s="11" t="n">
        <f aca="false">AVERAGE(Dati_OPTN!C44:H44)</f>
        <v>38.5</v>
      </c>
      <c r="D21" s="11" t="n">
        <f aca="false">Tabella5[[#This Row],[d/anno (2014-2019)]]/365</f>
        <v>0.105479452054795</v>
      </c>
      <c r="E21" s="11" t="n">
        <f aca="false">Tabella5[[#This Row],[d/anno (2014-2019)]]/Tabella3[[#This Row],[p/anno (2014-2019)]]</f>
        <v>0.0366259711431743</v>
      </c>
      <c r="J21" s="12"/>
      <c r="K21" s="12"/>
      <c r="L21" s="12"/>
      <c r="M21" s="12"/>
    </row>
    <row r="22" customFormat="false" ht="15" hidden="false" customHeight="false" outlineLevel="0" collapsed="false">
      <c r="A22" s="7"/>
      <c r="B22" s="7" t="s">
        <v>23</v>
      </c>
      <c r="C22" s="11" t="n">
        <f aca="false">AVERAGE(Dati_OPTN!C45:H45)</f>
        <v>82.1666666666667</v>
      </c>
      <c r="D22" s="11" t="n">
        <f aca="false">Tabella5[[#This Row],[d/anno (2014-2019)]]/365</f>
        <v>0.225114155251142</v>
      </c>
      <c r="E22" s="11" t="n">
        <f aca="false">Tabella5[[#This Row],[d/anno (2014-2019)]]/Tabella3[[#This Row],[p/anno (2014-2019)]]</f>
        <v>0.220878136200717</v>
      </c>
      <c r="J22" s="12"/>
      <c r="K22" s="12"/>
      <c r="L22" s="12"/>
      <c r="M22" s="12"/>
    </row>
    <row r="23" customFormat="false" ht="15" hidden="false" customHeight="false" outlineLevel="0" collapsed="false">
      <c r="A23" s="7"/>
      <c r="B23" s="7"/>
      <c r="C23" s="11"/>
      <c r="D23" s="11"/>
      <c r="E23" s="11"/>
      <c r="G23" s="7"/>
      <c r="H23" s="7"/>
      <c r="I23" s="11"/>
      <c r="J23" s="11"/>
      <c r="K23" s="12"/>
      <c r="L23" s="12"/>
      <c r="M23" s="12"/>
      <c r="N23" s="12"/>
      <c r="O23" s="12"/>
    </row>
    <row r="24" customFormat="false" ht="15" hidden="false" customHeight="false" outlineLevel="0" collapsed="false">
      <c r="A24" s="9" t="s">
        <v>32</v>
      </c>
      <c r="B24" s="9"/>
      <c r="C24" s="9"/>
      <c r="D24" s="9"/>
      <c r="E24" s="9"/>
    </row>
    <row r="25" customFormat="false" ht="15" hidden="false" customHeight="false" outlineLevel="0" collapsed="false">
      <c r="A25" s="10" t="s">
        <v>2</v>
      </c>
      <c r="B25" s="10" t="s">
        <v>3</v>
      </c>
      <c r="C25" s="10" t="s">
        <v>50</v>
      </c>
      <c r="D25" s="10" t="s">
        <v>51</v>
      </c>
      <c r="E25" s="10" t="s">
        <v>49</v>
      </c>
    </row>
    <row r="26" customFormat="false" ht="15" hidden="false" customHeight="false" outlineLevel="0" collapsed="false">
      <c r="A26" s="7" t="s">
        <v>16</v>
      </c>
      <c r="B26" s="7" t="s">
        <v>17</v>
      </c>
      <c r="C26" s="11" t="n">
        <f aca="false">IF(AVERAGE(Dati_OPTN!Q49:V49) &gt; Arrivi!C3, Arrivi!C3, AVERAGE(Dati_OPTN!Q49:V49))</f>
        <v>11046.5</v>
      </c>
      <c r="D26" s="11" t="n">
        <f aca="false">Tabella511[[#This Row],[r/anno (2014-2019)]]/365</f>
        <v>30.2643835616438</v>
      </c>
      <c r="E26" s="11" t="n">
        <f aca="false">Tabella511[[#This Row],[r/anno (2014-2019)]]/Arrivi!C3</f>
        <v>0.298423661733387</v>
      </c>
    </row>
    <row r="27" customFormat="false" ht="15" hidden="false" customHeight="false" outlineLevel="0" collapsed="false">
      <c r="A27" s="7"/>
      <c r="B27" s="7" t="s">
        <v>19</v>
      </c>
      <c r="C27" s="11" t="n">
        <f aca="false">IF(AVERAGE(Dati_OPTN!Q50:V50) &gt; Arrivi!C4, Arrivi!C4, AVERAGE(Dati_OPTN!Q50:V50))</f>
        <v>3.33333333333333</v>
      </c>
      <c r="D27" s="11" t="n">
        <f aca="false">Tabella511[[#This Row],[r/anno (2014-2019)]]/365</f>
        <v>0.0091324200913242</v>
      </c>
      <c r="E27" s="11" t="n">
        <f aca="false">Tabella511[[#This Row],[r/anno (2014-2019)]]/Arrivi!C4</f>
        <v>0.0892857142857143</v>
      </c>
    </row>
    <row r="28" customFormat="false" ht="15" hidden="false" customHeight="false" outlineLevel="0" collapsed="false">
      <c r="A28" s="7"/>
      <c r="B28" s="7" t="s">
        <v>21</v>
      </c>
      <c r="C28" s="11" t="n">
        <f aca="false">IF(AVERAGE(Dati_OPTN!Q51:V51) &gt; Arrivi!C5, Arrivi!C5, AVERAGE(Dati_OPTN!Q51:V51))</f>
        <v>2905.83333333333</v>
      </c>
      <c r="D28" s="11" t="n">
        <f aca="false">Tabella511[[#This Row],[r/anno (2014-2019)]]/365</f>
        <v>7.96118721461187</v>
      </c>
      <c r="E28" s="11" t="n">
        <f aca="false">Tabella511[[#This Row],[r/anno (2014-2019)]]/Arrivi!C5</f>
        <v>0.103761850632926</v>
      </c>
    </row>
    <row r="29" customFormat="false" ht="15" hidden="false" customHeight="false" outlineLevel="0" collapsed="false">
      <c r="A29" s="7"/>
      <c r="B29" s="7" t="s">
        <v>23</v>
      </c>
      <c r="C29" s="11" t="n">
        <f aca="false">IF(AVERAGE(Dati_OPTN!Q52:V52) &gt; Arrivi!C6, Arrivi!C6, AVERAGE(Dati_OPTN!Q52:V52))</f>
        <v>9278.66666666667</v>
      </c>
      <c r="D29" s="11" t="n">
        <f aca="false">Tabella511[[#This Row],[r/anno (2014-2019)]]/365</f>
        <v>25.42100456621</v>
      </c>
      <c r="E29" s="11" t="n">
        <f aca="false">Tabella511[[#This Row],[r/anno (2014-2019)]]/Arrivi!C6</f>
        <v>0.992282327778273</v>
      </c>
    </row>
    <row r="30" customFormat="false" ht="15" hidden="false" customHeight="false" outlineLevel="0" collapsed="false">
      <c r="A30" s="7" t="s">
        <v>24</v>
      </c>
      <c r="B30" s="7" t="s">
        <v>17</v>
      </c>
      <c r="C30" s="11" t="n">
        <f aca="false">IF(AVERAGE(Dati_OPTN!Q53:V53) &gt; Arrivi!C7, Arrivi!C7, AVERAGE(Dati_OPTN!Q53:V53))</f>
        <v>5731.83333333333</v>
      </c>
      <c r="D30" s="11" t="n">
        <f aca="false">Tabella511[[#This Row],[r/anno (2014-2019)]]/365</f>
        <v>15.7036529680365</v>
      </c>
      <c r="E30" s="11" t="n">
        <f aca="false">Tabella511[[#This Row],[r/anno (2014-2019)]]/Arrivi!C7</f>
        <v>0.31748859880726</v>
      </c>
    </row>
    <row r="31" customFormat="false" ht="15" hidden="false" customHeight="false" outlineLevel="0" collapsed="false">
      <c r="A31" s="7"/>
      <c r="B31" s="7" t="s">
        <v>19</v>
      </c>
      <c r="C31" s="11" t="n">
        <f aca="false">IF(AVERAGE(Dati_OPTN!Q54:V54) &gt; Arrivi!C8, Arrivi!C8, AVERAGE(Dati_OPTN!Q54:V54))</f>
        <v>2.33333333333333</v>
      </c>
      <c r="D31" s="11" t="n">
        <f aca="false">Tabella511[[#This Row],[r/anno (2014-2019)]]/365</f>
        <v>0.00639269406392694</v>
      </c>
      <c r="E31" s="11" t="n">
        <f aca="false">Tabella511[[#This Row],[r/anno (2014-2019)]]/Arrivi!C8</f>
        <v>0.12280701754386</v>
      </c>
    </row>
    <row r="32" customFormat="false" ht="15" hidden="false" customHeight="false" outlineLevel="0" collapsed="false">
      <c r="A32" s="7"/>
      <c r="B32" s="7" t="s">
        <v>21</v>
      </c>
      <c r="C32" s="11" t="n">
        <f aca="false">IF(AVERAGE(Dati_OPTN!Q55:V55) &gt; Arrivi!C9, Arrivi!C9, AVERAGE(Dati_OPTN!Q55:V55))</f>
        <v>1521.5</v>
      </c>
      <c r="D32" s="11" t="n">
        <f aca="false">Tabella511[[#This Row],[r/anno (2014-2019)]]/365</f>
        <v>4.16849315068493</v>
      </c>
      <c r="E32" s="11" t="n">
        <f aca="false">Tabella511[[#This Row],[r/anno (2014-2019)]]/Arrivi!C9</f>
        <v>0.11062772661173</v>
      </c>
    </row>
    <row r="33" customFormat="false" ht="15" hidden="false" customHeight="false" outlineLevel="0" collapsed="false">
      <c r="A33" s="7"/>
      <c r="B33" s="7" t="s">
        <v>23</v>
      </c>
      <c r="C33" s="11" t="n">
        <f aca="false">IF(AVERAGE(Dati_OPTN!Q56:V56) &gt; Arrivi!C10, Arrivi!C10, AVERAGE(Dati_OPTN!Q56:V56))</f>
        <v>4465</v>
      </c>
      <c r="D33" s="11" t="n">
        <f aca="false">Tabella511[[#This Row],[r/anno (2014-2019)]]/365</f>
        <v>12.2328767123288</v>
      </c>
      <c r="E33" s="11" t="n">
        <f aca="false">Tabella511[[#This Row],[r/anno (2014-2019)]]/Arrivi!C10</f>
        <v>1</v>
      </c>
    </row>
    <row r="34" customFormat="false" ht="15" hidden="false" customHeight="false" outlineLevel="0" collapsed="false">
      <c r="A34" s="7" t="s">
        <v>25</v>
      </c>
      <c r="B34" s="7" t="s">
        <v>17</v>
      </c>
      <c r="C34" s="11" t="n">
        <f aca="false">IF(AVERAGE(Dati_OPTN!Q57:V57) &gt; Arrivi!C11, Arrivi!C11, AVERAGE(Dati_OPTN!Q57:V57))</f>
        <v>3254.16666666667</v>
      </c>
      <c r="D34" s="11" t="n">
        <f aca="false">Tabella511[[#This Row],[r/anno (2014-2019)]]/365</f>
        <v>8.91552511415525</v>
      </c>
      <c r="E34" s="11" t="n">
        <f aca="false">Tabella511[[#This Row],[r/anno (2014-2019)]]/Arrivi!C11</f>
        <v>0.270118838454408</v>
      </c>
    </row>
    <row r="35" customFormat="false" ht="15" hidden="false" customHeight="false" outlineLevel="0" collapsed="false">
      <c r="A35" s="7"/>
      <c r="B35" s="7" t="s">
        <v>19</v>
      </c>
      <c r="C35" s="11" t="n">
        <f aca="false">IF(AVERAGE(Dati_OPTN!Q58:V58) &gt; Arrivi!C12, Arrivi!C12, AVERAGE(Dati_OPTN!Q58:V58))</f>
        <v>0.5</v>
      </c>
      <c r="D35" s="11" t="n">
        <f aca="false">Tabella511[[#This Row],[r/anno (2014-2019)]]/365</f>
        <v>0.00136986301369863</v>
      </c>
      <c r="E35" s="11" t="n">
        <f aca="false">Tabella511[[#This Row],[r/anno (2014-2019)]]/Arrivi!C12</f>
        <v>0.046875</v>
      </c>
    </row>
    <row r="36" customFormat="false" ht="15" hidden="false" customHeight="false" outlineLevel="0" collapsed="false">
      <c r="A36" s="7"/>
      <c r="B36" s="7" t="s">
        <v>21</v>
      </c>
      <c r="C36" s="11" t="n">
        <f aca="false">IF(AVERAGE(Dati_OPTN!Q59:V59) &gt; Arrivi!C13, Arrivi!C13, AVERAGE(Dati_OPTN!Q59:V59))</f>
        <v>853.333333333333</v>
      </c>
      <c r="D36" s="11" t="n">
        <f aca="false">Tabella511[[#This Row],[r/anno (2014-2019)]]/365</f>
        <v>2.337899543379</v>
      </c>
      <c r="E36" s="11" t="n">
        <f aca="false">Tabella511[[#This Row],[r/anno (2014-2019)]]/Arrivi!C13</f>
        <v>0.0947814657805587</v>
      </c>
    </row>
    <row r="37" customFormat="false" ht="15" hidden="false" customHeight="false" outlineLevel="0" collapsed="false">
      <c r="A37" s="7"/>
      <c r="B37" s="7" t="s">
        <v>23</v>
      </c>
      <c r="C37" s="11" t="n">
        <f aca="false">IF(AVERAGE(Dati_OPTN!Q60:V60) &gt; Arrivi!C14, Arrivi!C14, AVERAGE(Dati_OPTN!Q60:V60))</f>
        <v>2782.5</v>
      </c>
      <c r="D37" s="11" t="n">
        <f aca="false">Tabella511[[#This Row],[r/anno (2014-2019)]]/365</f>
        <v>7.62328767123288</v>
      </c>
      <c r="E37" s="11" t="n">
        <f aca="false">Tabella511[[#This Row],[r/anno (2014-2019)]]/Arrivi!C14</f>
        <v>0.882119835147416</v>
      </c>
    </row>
    <row r="38" customFormat="false" ht="15" hidden="false" customHeight="false" outlineLevel="0" collapsed="false">
      <c r="A38" s="7" t="s">
        <v>26</v>
      </c>
      <c r="B38" s="7" t="s">
        <v>17</v>
      </c>
      <c r="C38" s="11" t="n">
        <f aca="false">IF(AVERAGE(Dati_OPTN!Q61:V61) &gt; Arrivi!C15, Arrivi!C15, AVERAGE(Dati_OPTN!Q61:V61))</f>
        <v>1750.83333333333</v>
      </c>
      <c r="D38" s="11" t="n">
        <f aca="false">Tabella511[[#This Row],[r/anno (2014-2019)]]/365</f>
        <v>4.79680365296804</v>
      </c>
      <c r="E38" s="11" t="n">
        <f aca="false">Tabella511[[#This Row],[r/anno (2014-2019)]]/Arrivi!C15</f>
        <v>0.318034573582392</v>
      </c>
    </row>
    <row r="39" customFormat="false" ht="15" hidden="false" customHeight="false" outlineLevel="0" collapsed="false">
      <c r="A39" s="7"/>
      <c r="B39" s="7" t="s">
        <v>19</v>
      </c>
      <c r="C39" s="11" t="n">
        <f aca="false">IF(AVERAGE(Dati_OPTN!Q62:V62) &gt; Arrivi!C16, Arrivi!C16, AVERAGE(Dati_OPTN!Q62:V62))</f>
        <v>0</v>
      </c>
      <c r="D39" s="11" t="n">
        <f aca="false">Tabella511[[#This Row],[r/anno (2014-2019)]]/365</f>
        <v>0</v>
      </c>
      <c r="E39" s="11" t="n">
        <f aca="false">Tabella511[[#This Row],[r/anno (2014-2019)]]/Arrivi!C16</f>
        <v>0</v>
      </c>
    </row>
    <row r="40" customFormat="false" ht="15" hidden="false" customHeight="false" outlineLevel="0" collapsed="false">
      <c r="A40" s="7"/>
      <c r="B40" s="7" t="s">
        <v>21</v>
      </c>
      <c r="C40" s="11" t="n">
        <f aca="false">IF(AVERAGE(Dati_OPTN!Q63:V63) &gt; Arrivi!C17, Arrivi!C17, AVERAGE(Dati_OPTN!Q63:V63))</f>
        <v>454</v>
      </c>
      <c r="D40" s="11" t="n">
        <f aca="false">Tabella511[[#This Row],[r/anno (2014-2019)]]/365</f>
        <v>1.24383561643836</v>
      </c>
      <c r="E40" s="11" t="n">
        <f aca="false">Tabella511[[#This Row],[r/anno (2014-2019)]]/Arrivi!C17</f>
        <v>0.10814673654121</v>
      </c>
    </row>
    <row r="41" customFormat="false" ht="15" hidden="false" customHeight="false" outlineLevel="0" collapsed="false">
      <c r="A41" s="7"/>
      <c r="B41" s="7" t="s">
        <v>23</v>
      </c>
      <c r="C41" s="11" t="n">
        <f aca="false">IF(AVERAGE(Dati_OPTN!Q64:V64) &gt; Arrivi!C18, Arrivi!C18, AVERAGE(Dati_OPTN!Q64:V64))</f>
        <v>1359.5</v>
      </c>
      <c r="D41" s="11" t="n">
        <f aca="false">Tabella511[[#This Row],[r/anno (2014-2019)]]/365</f>
        <v>3.72465753424658</v>
      </c>
      <c r="E41" s="11" t="n">
        <f aca="false">Tabella511[[#This Row],[r/anno (2014-2019)]]/Arrivi!C18</f>
        <v>1</v>
      </c>
    </row>
    <row r="42" customFormat="false" ht="15" hidden="false" customHeight="false" outlineLevel="0" collapsed="false">
      <c r="A42" s="7" t="s">
        <v>27</v>
      </c>
      <c r="B42" s="7" t="s">
        <v>17</v>
      </c>
      <c r="C42" s="11" t="n">
        <f aca="false">IF(AVERAGE(Dati_OPTN!Q65:V65) &gt; Arrivi!C19, Arrivi!C19, AVERAGE(Dati_OPTN!Q65:V65))</f>
        <v>309.833333333333</v>
      </c>
      <c r="D42" s="11" t="n">
        <f aca="false">Tabella511[[#This Row],[r/anno (2014-2019)]]/365</f>
        <v>0.848858447488584</v>
      </c>
      <c r="E42" s="11" t="n">
        <f aca="false">Tabella511[[#This Row],[r/anno (2014-2019)]]/Arrivi!C19</f>
        <v>0.219610159480213</v>
      </c>
    </row>
    <row r="43" customFormat="false" ht="15" hidden="false" customHeight="false" outlineLevel="0" collapsed="false">
      <c r="A43" s="7"/>
      <c r="B43" s="7" t="s">
        <v>19</v>
      </c>
      <c r="C43" s="11" t="n">
        <f aca="false">IF(AVERAGE(Dati_OPTN!Q66:V66) &gt; Arrivi!C20, Arrivi!C20, AVERAGE(Dati_OPTN!Q66:V66))</f>
        <v>0.5</v>
      </c>
      <c r="D43" s="11" t="n">
        <f aca="false">Tabella511[[#This Row],[r/anno (2014-2019)]]/365</f>
        <v>0.00136986301369863</v>
      </c>
      <c r="E43" s="11" t="n">
        <f aca="false">Tabella511[[#This Row],[r/anno (2014-2019)]]/Arrivi!C20</f>
        <v>0.3</v>
      </c>
    </row>
    <row r="44" customFormat="false" ht="15" hidden="false" customHeight="false" outlineLevel="0" collapsed="false">
      <c r="A44" s="7"/>
      <c r="B44" s="7" t="s">
        <v>21</v>
      </c>
      <c r="C44" s="11" t="n">
        <f aca="false">IF(AVERAGE(Dati_OPTN!Q67:V67) &gt; Arrivi!C21, Arrivi!C21, AVERAGE(Dati_OPTN!Q67:V67))</f>
        <v>77</v>
      </c>
      <c r="D44" s="11" t="n">
        <f aca="false">Tabella511[[#This Row],[r/anno (2014-2019)]]/365</f>
        <v>0.210958904109589</v>
      </c>
      <c r="E44" s="11" t="n">
        <f aca="false">Tabella511[[#This Row],[r/anno (2014-2019)]]/Arrivi!C21</f>
        <v>0.0732519422863485</v>
      </c>
    </row>
    <row r="45" customFormat="false" ht="15" hidden="false" customHeight="false" outlineLevel="0" collapsed="false">
      <c r="A45" s="7"/>
      <c r="B45" s="7" t="s">
        <v>23</v>
      </c>
      <c r="C45" s="11" t="n">
        <f aca="false">IF(AVERAGE(Dati_OPTN!Q68:V68) &gt; Arrivi!C22, Arrivi!C22, AVERAGE(Dati_OPTN!Q68:V68))</f>
        <v>275.833333333333</v>
      </c>
      <c r="D45" s="11" t="n">
        <f aca="false">Tabella511[[#This Row],[r/anno (2014-2019)]]/365</f>
        <v>0.755707762557078</v>
      </c>
      <c r="E45" s="11" t="n">
        <f aca="false">Tabella511[[#This Row],[r/anno (2014-2019)]]/Arrivi!C22</f>
        <v>0.741487455197133</v>
      </c>
    </row>
    <row r="46" customFormat="false" ht="15" hidden="false" customHeight="false" outlineLevel="0" collapsed="false">
      <c r="A46" s="7"/>
      <c r="B46" s="7"/>
      <c r="C46" s="11"/>
      <c r="D46" s="11"/>
      <c r="E46" s="11"/>
      <c r="G46" s="7"/>
      <c r="H46" s="7"/>
      <c r="I46" s="11"/>
      <c r="J46" s="11"/>
      <c r="K46" s="12"/>
      <c r="L46" s="12"/>
      <c r="M46" s="12"/>
      <c r="N46" s="12"/>
      <c r="O46" s="12"/>
    </row>
    <row r="47" customFormat="false" ht="15.75" hidden="false" customHeight="false" outlineLevel="0" collapsed="false">
      <c r="A47" s="7"/>
      <c r="B47" s="7"/>
      <c r="C47" s="11"/>
      <c r="D47" s="11"/>
      <c r="E47" s="11"/>
      <c r="F47" s="11"/>
      <c r="G47" s="11"/>
      <c r="H47" s="11"/>
      <c r="I47" s="12"/>
      <c r="J47" s="12"/>
      <c r="K47" s="12"/>
      <c r="L47" s="12"/>
      <c r="M47" s="12"/>
      <c r="N47" s="12"/>
      <c r="O47" s="12"/>
      <c r="P47" s="12"/>
      <c r="Q47" s="12"/>
    </row>
    <row r="48" customFormat="false" ht="15.75" hidden="false" customHeight="false" outlineLevel="0" collapsed="false">
      <c r="A48" s="13" t="s">
        <v>52</v>
      </c>
      <c r="B48" s="13"/>
      <c r="C48" s="13"/>
      <c r="D48" s="13"/>
      <c r="E48" s="13"/>
      <c r="F48" s="11"/>
      <c r="G48" s="11"/>
      <c r="H48" s="11"/>
    </row>
    <row r="49" customFormat="false" ht="15" hidden="false" customHeight="false" outlineLevel="0" collapsed="false">
      <c r="A49" s="10" t="s">
        <v>2</v>
      </c>
      <c r="B49" s="10" t="s">
        <v>3</v>
      </c>
      <c r="C49" s="10" t="s">
        <v>53</v>
      </c>
      <c r="D49" s="10" t="s">
        <v>54</v>
      </c>
      <c r="E49" s="10" t="s">
        <v>49</v>
      </c>
      <c r="F49" s="11"/>
      <c r="G49" s="11"/>
      <c r="H49" s="11"/>
    </row>
    <row r="50" customFormat="false" ht="15" hidden="false" customHeight="false" outlineLevel="0" collapsed="false">
      <c r="A50" s="7" t="s">
        <v>16</v>
      </c>
      <c r="B50" s="7" t="s">
        <v>17</v>
      </c>
      <c r="C50" s="11" t="n">
        <f aca="false">AVERAGE(Dati_OPTN!C49:H49)</f>
        <v>19743.8333333333</v>
      </c>
      <c r="D50" s="11" t="n">
        <f aca="false">Tabella512[[#This Row],[t/anno (2014-2019)]]/365</f>
        <v>54.0926940639269</v>
      </c>
      <c r="E50" s="12" t="n">
        <f aca="false">Tabella512[[#This Row],[t/anno (2014-2019)]]/Arrivi!C3</f>
        <v>0.533384061918891</v>
      </c>
    </row>
    <row r="51" customFormat="false" ht="15" hidden="false" customHeight="false" outlineLevel="0" collapsed="false">
      <c r="A51" s="7"/>
      <c r="B51" s="7" t="s">
        <v>19</v>
      </c>
      <c r="C51" s="11" t="n">
        <f aca="false">AVERAGE(Dati_OPTN!C50:H50)</f>
        <v>16.5</v>
      </c>
      <c r="D51" s="11" t="n">
        <f aca="false">Tabella512[[#This Row],[t/anno (2014-2019)]]/365</f>
        <v>0.0452054794520548</v>
      </c>
      <c r="E51" s="12" t="n">
        <f aca="false">Tabella512[[#This Row],[t/anno (2014-2019)]]/Arrivi!C4</f>
        <v>0.441964285714286</v>
      </c>
    </row>
    <row r="52" customFormat="false" ht="15" hidden="false" customHeight="false" outlineLevel="0" collapsed="false">
      <c r="A52" s="7"/>
      <c r="B52" s="7" t="s">
        <v>21</v>
      </c>
      <c r="C52" s="11" t="n">
        <f aca="false">AVERAGE(Dati_OPTN!C51:H51)</f>
        <v>18036.1666666667</v>
      </c>
      <c r="D52" s="11" t="n">
        <f aca="false">Tabella512[[#This Row],[t/anno (2014-2019)]]/365</f>
        <v>49.4141552511416</v>
      </c>
      <c r="E52" s="12" t="n">
        <f aca="false">Tabella512[[#This Row],[t/anno (2014-2019)]]/Arrivi!C5</f>
        <v>0.64403763636039</v>
      </c>
    </row>
    <row r="53" customFormat="false" ht="15" hidden="false" customHeight="false" outlineLevel="0" collapsed="false">
      <c r="A53" s="7"/>
      <c r="B53" s="7" t="s">
        <v>23</v>
      </c>
      <c r="C53" s="11" t="n">
        <f aca="false">AVERAGE(Dati_OPTN!C52:H52)</f>
        <v>1546</v>
      </c>
      <c r="D53" s="11" t="n">
        <f aca="false">Tabella512[[#This Row],[t/anno (2014-2019)]]/365</f>
        <v>4.23561643835616</v>
      </c>
      <c r="E53" s="12" t="n">
        <f aca="false">Tabella512[[#This Row],[t/anno (2014-2019)]]/Arrivi!C6</f>
        <v>0.165332858034043</v>
      </c>
    </row>
    <row r="54" customFormat="false" ht="15" hidden="false" customHeight="false" outlineLevel="0" collapsed="false">
      <c r="A54" s="7" t="s">
        <v>24</v>
      </c>
      <c r="B54" s="7" t="s">
        <v>17</v>
      </c>
      <c r="C54" s="11" t="n">
        <f aca="false">AVERAGE(Dati_OPTN!C53:H53)</f>
        <v>8915.5</v>
      </c>
      <c r="D54" s="11" t="n">
        <f aca="false">Tabella512[[#This Row],[t/anno (2014-2019)]]/365</f>
        <v>24.4260273972603</v>
      </c>
      <c r="E54" s="12" t="n">
        <f aca="false">Tabella512[[#This Row],[t/anno (2014-2019)]]/Arrivi!C7</f>
        <v>0.493833201011798</v>
      </c>
    </row>
    <row r="55" customFormat="false" ht="15" hidden="false" customHeight="false" outlineLevel="0" collapsed="false">
      <c r="A55" s="7"/>
      <c r="B55" s="7" t="s">
        <v>19</v>
      </c>
      <c r="C55" s="11" t="n">
        <f aca="false">AVERAGE(Dati_OPTN!C54:H54)</f>
        <v>7.5</v>
      </c>
      <c r="D55" s="11" t="n">
        <f aca="false">Tabella512[[#This Row],[t/anno (2014-2019)]]/365</f>
        <v>0.0205479452054794</v>
      </c>
      <c r="E55" s="12" t="n">
        <f aca="false">Tabella512[[#This Row],[t/anno (2014-2019)]]/Arrivi!C8</f>
        <v>0.394736842105263</v>
      </c>
    </row>
    <row r="56" customFormat="false" ht="15" hidden="false" customHeight="false" outlineLevel="0" collapsed="false">
      <c r="A56" s="7"/>
      <c r="B56" s="7" t="s">
        <v>21</v>
      </c>
      <c r="C56" s="11" t="n">
        <f aca="false">AVERAGE(Dati_OPTN!C55:H55)</f>
        <v>8187</v>
      </c>
      <c r="D56" s="11" t="n">
        <f aca="false">Tabella512[[#This Row],[t/anno (2014-2019)]]/365</f>
        <v>22.4301369863014</v>
      </c>
      <c r="E56" s="12" t="n">
        <f aca="false">Tabella512[[#This Row],[t/anno (2014-2019)]]/Arrivi!C9</f>
        <v>0.595273873000485</v>
      </c>
    </row>
    <row r="57" customFormat="false" ht="15" hidden="false" customHeight="false" outlineLevel="0" collapsed="false">
      <c r="A57" s="7"/>
      <c r="B57" s="7" t="s">
        <v>23</v>
      </c>
      <c r="C57" s="11" t="n">
        <f aca="false">AVERAGE(Dati_OPTN!C56:H56)</f>
        <v>657.166666666667</v>
      </c>
      <c r="D57" s="11" t="n">
        <f aca="false">Tabella512[[#This Row],[t/anno (2014-2019)]]/365</f>
        <v>1.80045662100457</v>
      </c>
      <c r="E57" s="12" t="n">
        <f aca="false">Tabella512[[#This Row],[t/anno (2014-2019)]]/Arrivi!C10</f>
        <v>0.147181784247854</v>
      </c>
    </row>
    <row r="58" customFormat="false" ht="15" hidden="false" customHeight="false" outlineLevel="0" collapsed="false">
      <c r="A58" s="7" t="s">
        <v>25</v>
      </c>
      <c r="B58" s="7" t="s">
        <v>17</v>
      </c>
      <c r="C58" s="11" t="n">
        <f aca="false">AVERAGE(Dati_OPTN!C57:H57)</f>
        <v>7162.33333333333</v>
      </c>
      <c r="D58" s="11" t="n">
        <f aca="false">Tabella512[[#This Row],[t/anno (2014-2019)]]/365</f>
        <v>19.6228310502283</v>
      </c>
      <c r="E58" s="12" t="n">
        <f aca="false">Tabella512[[#This Row],[t/anno (2014-2019)]]/Arrivi!C11</f>
        <v>0.594524300319577</v>
      </c>
    </row>
    <row r="59" customFormat="false" ht="15" hidden="false" customHeight="false" outlineLevel="0" collapsed="false">
      <c r="A59" s="7"/>
      <c r="B59" s="7" t="s">
        <v>19</v>
      </c>
      <c r="C59" s="11" t="n">
        <f aca="false">AVERAGE(Dati_OPTN!C58:H58)</f>
        <v>4.33333333333333</v>
      </c>
      <c r="D59" s="11" t="n">
        <f aca="false">Tabella512[[#This Row],[t/anno (2014-2019)]]/365</f>
        <v>0.0118721461187215</v>
      </c>
      <c r="E59" s="12" t="n">
        <f aca="false">Tabella512[[#This Row],[t/anno (2014-2019)]]/Arrivi!C12</f>
        <v>0.40625</v>
      </c>
    </row>
    <row r="60" customFormat="false" ht="15" hidden="false" customHeight="false" outlineLevel="0" collapsed="false">
      <c r="A60" s="7"/>
      <c r="B60" s="7" t="s">
        <v>21</v>
      </c>
      <c r="C60" s="11" t="n">
        <f aca="false">AVERAGE(Dati_OPTN!C59:H59)</f>
        <v>6475</v>
      </c>
      <c r="D60" s="11" t="n">
        <f aca="false">Tabella512[[#This Row],[t/anno (2014-2019)]]/365</f>
        <v>17.7397260273973</v>
      </c>
      <c r="E60" s="12" t="n">
        <f aca="false">Tabella512[[#This Row],[t/anno (2014-2019)]]/Arrivi!C13</f>
        <v>0.71919139562006</v>
      </c>
    </row>
    <row r="61" customFormat="false" ht="15" hidden="false" customHeight="false" outlineLevel="0" collapsed="false">
      <c r="A61" s="7"/>
      <c r="B61" s="7" t="s">
        <v>23</v>
      </c>
      <c r="C61" s="11" t="n">
        <f aca="false">AVERAGE(Dati_OPTN!C60:H60)</f>
        <v>625.333333333333</v>
      </c>
      <c r="D61" s="11" t="n">
        <f aca="false">Tabella512[[#This Row],[t/anno (2014-2019)]]/365</f>
        <v>1.71324200913242</v>
      </c>
      <c r="E61" s="12" t="n">
        <f aca="false">Tabella512[[#This Row],[t/anno (2014-2019)]]/Arrivi!C14</f>
        <v>0.198245799429356</v>
      </c>
    </row>
    <row r="62" customFormat="false" ht="15" hidden="false" customHeight="false" outlineLevel="0" collapsed="false">
      <c r="A62" s="7" t="s">
        <v>26</v>
      </c>
      <c r="B62" s="7" t="s">
        <v>17</v>
      </c>
      <c r="C62" s="11" t="n">
        <f aca="false">AVERAGE(Dati_OPTN!C61:H61)</f>
        <v>2700.5</v>
      </c>
      <c r="D62" s="11" t="n">
        <f aca="false">Tabella512[[#This Row],[t/anno (2014-2019)]]/365</f>
        <v>7.3986301369863</v>
      </c>
      <c r="E62" s="12" t="n">
        <f aca="false">Tabella512[[#This Row],[t/anno (2014-2019)]]/Arrivi!C15</f>
        <v>0.490539190457449</v>
      </c>
    </row>
    <row r="63" customFormat="false" ht="15" hidden="false" customHeight="false" outlineLevel="0" collapsed="false">
      <c r="A63" s="7"/>
      <c r="B63" s="7" t="s">
        <v>19</v>
      </c>
      <c r="C63" s="11" t="n">
        <f aca="false">AVERAGE(Dati_OPTN!C62:H62)</f>
        <v>3.83333333333333</v>
      </c>
      <c r="D63" s="11" t="n">
        <f aca="false">Tabella512[[#This Row],[t/anno (2014-2019)]]/365</f>
        <v>0.0105022831050228</v>
      </c>
      <c r="E63" s="12" t="n">
        <f aca="false">Tabella512[[#This Row],[t/anno (2014-2019)]]/Arrivi!C16</f>
        <v>0.638888888888889</v>
      </c>
    </row>
    <row r="64" customFormat="false" ht="15" hidden="false" customHeight="false" outlineLevel="0" collapsed="false">
      <c r="A64" s="7"/>
      <c r="B64" s="7" t="s">
        <v>21</v>
      </c>
      <c r="C64" s="11" t="n">
        <f aca="false">AVERAGE(Dati_OPTN!C63:H63)</f>
        <v>2481.5</v>
      </c>
      <c r="D64" s="11" t="n">
        <f aca="false">Tabella512[[#This Row],[t/anno (2014-2019)]]/365</f>
        <v>6.7986301369863</v>
      </c>
      <c r="E64" s="12" t="n">
        <f aca="false">Tabella512[[#This Row],[t/anno (2014-2019)]]/Arrivi!C17</f>
        <v>0.591114816579324</v>
      </c>
    </row>
    <row r="65" customFormat="false" ht="15" hidden="false" customHeight="false" outlineLevel="0" collapsed="false">
      <c r="A65" s="7"/>
      <c r="B65" s="7" t="s">
        <v>23</v>
      </c>
      <c r="C65" s="11" t="n">
        <f aca="false">AVERAGE(Dati_OPTN!C64:H64)</f>
        <v>198.166666666667</v>
      </c>
      <c r="D65" s="11" t="n">
        <f aca="false">Tabella512[[#This Row],[t/anno (2014-2019)]]/365</f>
        <v>0.542922374429224</v>
      </c>
      <c r="E65" s="12" t="n">
        <f aca="false">Tabella512[[#This Row],[t/anno (2014-2019)]]/Arrivi!C18</f>
        <v>0.145764374157166</v>
      </c>
    </row>
    <row r="66" customFormat="false" ht="15" hidden="false" customHeight="false" outlineLevel="0" collapsed="false">
      <c r="A66" s="7" t="s">
        <v>27</v>
      </c>
      <c r="B66" s="7" t="s">
        <v>17</v>
      </c>
      <c r="C66" s="11" t="n">
        <f aca="false">AVERAGE(Dati_OPTN!C65:H65)</f>
        <v>965.5</v>
      </c>
      <c r="D66" s="11" t="n">
        <f aca="false">Tabella512[[#This Row],[t/anno (2014-2019)]]/365</f>
        <v>2.64520547945205</v>
      </c>
      <c r="E66" s="12" t="n">
        <f aca="false">Tabella512[[#This Row],[t/anno (2014-2019)]]/Arrivi!C19</f>
        <v>0.684347312463083</v>
      </c>
    </row>
    <row r="67" customFormat="false" ht="15" hidden="false" customHeight="false" outlineLevel="0" collapsed="false">
      <c r="A67" s="7"/>
      <c r="B67" s="7" t="s">
        <v>19</v>
      </c>
      <c r="C67" s="11" t="n">
        <f aca="false">AVERAGE(Dati_OPTN!C66:H66)</f>
        <v>0.833333333333333</v>
      </c>
      <c r="D67" s="11" t="n">
        <f aca="false">Tabella512[[#This Row],[t/anno (2014-2019)]]/365</f>
        <v>0.00228310502283105</v>
      </c>
      <c r="E67" s="12" t="n">
        <f aca="false">Tabella512[[#This Row],[t/anno (2014-2019)]]/Arrivi!C20</f>
        <v>0.5</v>
      </c>
    </row>
    <row r="68" customFormat="false" ht="15" hidden="false" customHeight="false" outlineLevel="0" collapsed="false">
      <c r="A68" s="7"/>
      <c r="B68" s="7" t="s">
        <v>21</v>
      </c>
      <c r="C68" s="11" t="n">
        <f aca="false">AVERAGE(Dati_OPTN!C67:H67)</f>
        <v>892.666666666667</v>
      </c>
      <c r="D68" s="11" t="n">
        <f aca="false">Tabella512[[#This Row],[t/anno (2014-2019)]]/365</f>
        <v>2.44566210045662</v>
      </c>
      <c r="E68" s="12" t="n">
        <f aca="false">Tabella512[[#This Row],[t/anno (2014-2019)]]/Arrivi!C21</f>
        <v>0.849215157761218</v>
      </c>
    </row>
    <row r="69" customFormat="false" ht="15" hidden="false" customHeight="false" outlineLevel="0" collapsed="false">
      <c r="A69" s="7"/>
      <c r="B69" s="7" t="s">
        <v>23</v>
      </c>
      <c r="C69" s="11" t="n">
        <f aca="false">AVERAGE(Dati_OPTN!C68:H68)</f>
        <v>65.3333333333333</v>
      </c>
      <c r="D69" s="11" t="n">
        <f aca="false">Tabella512[[#This Row],[t/anno (2014-2019)]]/365</f>
        <v>0.178995433789954</v>
      </c>
      <c r="E69" s="12" t="n">
        <f aca="false">Tabella512[[#This Row],[t/anno (2014-2019)]]/Arrivi!C22</f>
        <v>0.175627240143369</v>
      </c>
    </row>
  </sheetData>
  <mergeCells count="3">
    <mergeCell ref="A1:E1"/>
    <mergeCell ref="A24:E24"/>
    <mergeCell ref="A48:E4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0.71"/>
    <col collapsed="false" customWidth="true" hidden="false" outlineLevel="0" max="3" min="3" style="0" width="18"/>
    <col collapsed="false" customWidth="true" hidden="false" outlineLevel="0" max="4" min="4" style="0" width="19.42"/>
    <col collapsed="false" customWidth="true" hidden="false" outlineLevel="0" max="5" min="5" style="0" width="17.13"/>
    <col collapsed="false" customWidth="true" hidden="false" outlineLevel="0" max="6" min="6" style="0" width="20.3"/>
    <col collapsed="false" customWidth="true" hidden="false" outlineLevel="0" max="7" min="7" style="0" width="14.15"/>
    <col collapsed="false" customWidth="true" hidden="false" outlineLevel="0" max="8" min="8" style="0" width="11.57"/>
    <col collapsed="false" customWidth="true" hidden="false" outlineLevel="0" max="9" min="9" style="0" width="15.88"/>
    <col collapsed="false" customWidth="true" hidden="false" outlineLevel="0" max="10" min="10" style="0" width="8.57"/>
    <col collapsed="false" customWidth="true" hidden="false" outlineLevel="0" max="14" min="14" style="0" width="8.4"/>
    <col collapsed="false" customWidth="true" hidden="false" outlineLevel="0" max="15" min="15" style="0" width="9.59"/>
    <col collapsed="false" customWidth="true" hidden="false" outlineLevel="0" max="16" min="16" style="0" width="10.12"/>
  </cols>
  <sheetData>
    <row r="1" customFormat="false" ht="15" hidden="false" customHeight="false" outlineLevel="0" collapsed="false">
      <c r="A1" s="14" t="s">
        <v>55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customFormat="false" ht="15" hidden="false" customHeight="false" outlineLevel="0" collapsed="false">
      <c r="A2" s="15" t="s">
        <v>56</v>
      </c>
      <c r="B2" s="15"/>
      <c r="C2" s="15"/>
      <c r="D2" s="15"/>
      <c r="E2" s="15"/>
      <c r="F2" s="15"/>
      <c r="G2" s="16" t="s">
        <v>57</v>
      </c>
      <c r="H2" s="16"/>
      <c r="I2" s="16"/>
      <c r="J2" s="17" t="s">
        <v>58</v>
      </c>
      <c r="K2" s="18" t="s">
        <v>59</v>
      </c>
      <c r="L2" s="18"/>
      <c r="M2" s="18" t="s">
        <v>60</v>
      </c>
      <c r="N2" s="18" t="s">
        <v>61</v>
      </c>
      <c r="O2" s="18" t="s">
        <v>62</v>
      </c>
      <c r="P2" s="18" t="s">
        <v>63</v>
      </c>
    </row>
    <row r="3" customFormat="false" ht="15" hidden="false" customHeight="false" outlineLevel="0" collapsed="false">
      <c r="A3" s="19" t="s">
        <v>2</v>
      </c>
      <c r="B3" s="20" t="s">
        <v>3</v>
      </c>
      <c r="C3" s="21" t="s">
        <v>64</v>
      </c>
      <c r="D3" s="21" t="s">
        <v>65</v>
      </c>
      <c r="E3" s="21" t="s">
        <v>66</v>
      </c>
      <c r="F3" s="21" t="s">
        <v>67</v>
      </c>
      <c r="G3" s="22" t="s">
        <v>2</v>
      </c>
      <c r="H3" s="23" t="s">
        <v>42</v>
      </c>
      <c r="I3" s="21" t="s">
        <v>68</v>
      </c>
      <c r="J3" s="24"/>
      <c r="K3" s="25" t="s">
        <v>69</v>
      </c>
      <c r="L3" s="26" t="s">
        <v>70</v>
      </c>
      <c r="M3" s="24"/>
      <c r="N3" s="24"/>
      <c r="O3" s="24"/>
      <c r="P3" s="24"/>
    </row>
    <row r="4" customFormat="false" ht="15" hidden="false" customHeight="false" outlineLevel="0" collapsed="false">
      <c r="A4" s="27" t="s">
        <v>24</v>
      </c>
      <c r="B4" s="28" t="s">
        <v>19</v>
      </c>
      <c r="C4" s="29" t="n">
        <v>0.052054794520548</v>
      </c>
      <c r="D4" s="29" t="n">
        <v>0.00273972602739726</v>
      </c>
      <c r="E4" s="29" t="n">
        <v>0.00639269406392694</v>
      </c>
      <c r="F4" s="30" t="n">
        <f aca="false">C4*(1-Uscite!E8-Uscite!E31)</f>
        <v>0.0429223744292237</v>
      </c>
      <c r="G4" s="31" t="s">
        <v>24</v>
      </c>
      <c r="H4" s="32" t="s">
        <v>71</v>
      </c>
      <c r="I4" s="29" t="n">
        <v>22.4118721461187</v>
      </c>
      <c r="J4" s="33" t="n">
        <f aca="false">1/(I$4+SUM(F$4:F$6))</f>
        <v>0.0201954998155662</v>
      </c>
      <c r="K4" s="34" t="n">
        <f aca="false">F4*J4</f>
        <v>0.000866838804869052</v>
      </c>
      <c r="L4" s="34" t="n">
        <f aca="false">SUM(K$4:K$6)</f>
        <v>0.547381040206566</v>
      </c>
      <c r="M4" s="33" t="n">
        <f aca="false">IF(MOD(ROW(),3)=1,(L4*J4)/(1-K4),IF(MOD(ROW(),3)=2,(L4*J4)/((1-K4)*(1-K4-K5)), IF(MOD(ROW(),3)=0,(L4*J4)/((1-K4-K5)*(1-L4)))))</f>
        <v>0.0110642245957615</v>
      </c>
      <c r="N4" s="33" t="n">
        <f aca="false">M4+J4</f>
        <v>0.0312597244113277</v>
      </c>
      <c r="O4" s="33" t="n">
        <f aca="false">M4*F4</f>
        <v>0.000474902790868303</v>
      </c>
      <c r="P4" s="33" t="n">
        <f aca="false">N4*F4</f>
        <v>0.00134174159573736</v>
      </c>
    </row>
    <row r="5" customFormat="false" ht="15" hidden="false" customHeight="false" outlineLevel="0" collapsed="false">
      <c r="A5" s="35"/>
      <c r="B5" s="28" t="s">
        <v>21</v>
      </c>
      <c r="C5" s="29" t="n">
        <v>37.6803652968037</v>
      </c>
      <c r="D5" s="29" t="n">
        <v>2.50365296803653</v>
      </c>
      <c r="E5" s="29" t="n">
        <v>4.16849315068493</v>
      </c>
      <c r="F5" s="30" t="n">
        <f aca="false">C5*(1-Uscite!E9-Uscite!E32)</f>
        <v>31.0082191780822</v>
      </c>
      <c r="G5" s="31"/>
      <c r="H5" s="32" t="s">
        <v>72</v>
      </c>
      <c r="I5" s="29" t="n">
        <v>12.1068493150685</v>
      </c>
      <c r="J5" s="33" t="n">
        <f aca="false">J4</f>
        <v>0.0201954998155662</v>
      </c>
      <c r="K5" s="34" t="n">
        <f aca="false">F5*J5</f>
        <v>0.626226484691995</v>
      </c>
      <c r="L5" s="34" t="n">
        <f aca="false">L4</f>
        <v>0.547381040206566</v>
      </c>
      <c r="M5" s="33" t="n">
        <f aca="false">IF(MOD(ROW(),3)=1,(L4*J4)/(1-K4),IF(MOD(ROW(),3)=2,(L4*J4)/((1-K4)*(1-K4-K5)), IF(MOD(ROW(),3)=0,(L4*J4)/((1-K4-K5)*(1-L4)))))</f>
        <v>0.0296702239271077</v>
      </c>
      <c r="N5" s="33" t="n">
        <f aca="false">M5+J5</f>
        <v>0.0498657237426739</v>
      </c>
      <c r="O5" s="33" t="n">
        <f aca="false">M5*F5</f>
        <v>0.920020806594533</v>
      </c>
      <c r="P5" s="33" t="n">
        <f aca="false">N5*F5</f>
        <v>1.54624729128653</v>
      </c>
    </row>
    <row r="6" customFormat="false" ht="15" hidden="false" customHeight="false" outlineLevel="0" collapsed="false">
      <c r="A6" s="35"/>
      <c r="B6" s="28" t="s">
        <v>23</v>
      </c>
      <c r="C6" s="29" t="n">
        <v>12.2328767123288</v>
      </c>
      <c r="D6" s="29" t="n">
        <v>3.94703196347032</v>
      </c>
      <c r="E6" s="29" t="n">
        <v>13.0433789954338</v>
      </c>
      <c r="F6" s="30" t="n">
        <f aca="false">C6*(1-Uscite!E10-Uscite!E33)</f>
        <v>-3.94703196347032</v>
      </c>
      <c r="G6" s="31"/>
      <c r="H6" s="32" t="s">
        <v>73</v>
      </c>
      <c r="I6" s="29" t="n">
        <v>10.3050228310502</v>
      </c>
      <c r="J6" s="33" t="n">
        <f aca="false">J5</f>
        <v>0.0201954998155662</v>
      </c>
      <c r="K6" s="34" t="n">
        <f aca="false">F6*J6</f>
        <v>-0.0797122832902988</v>
      </c>
      <c r="L6" s="34" t="n">
        <f aca="false">L5</f>
        <v>0.547381040206566</v>
      </c>
      <c r="M6" s="33" t="n">
        <f aca="false">IF(MOD(ROW(),3)=1,(L4*J4)/(1-K4),IF(MOD(ROW(),3)=2,(L4*J4)/((1-K4)*(1-K4-K5)), IF(MOD(ROW(),3)=0,(L4*J4)/((1-K4-K5)*(1-L4)))))</f>
        <v>0.0654954989936516</v>
      </c>
      <c r="N6" s="33" t="n">
        <f aca="false">M6+J6</f>
        <v>0.0856909988092178</v>
      </c>
      <c r="O6" s="33" t="n">
        <f aca="false">M6*F6</f>
        <v>-0.258512827991381</v>
      </c>
      <c r="P6" s="33" t="n">
        <f aca="false">N6*F6</f>
        <v>-0.33822511128168</v>
      </c>
    </row>
    <row r="7" customFormat="false" ht="15" hidden="false" customHeight="false" outlineLevel="0" collapsed="false">
      <c r="A7" s="27" t="s">
        <v>25</v>
      </c>
      <c r="B7" s="28" t="s">
        <v>19</v>
      </c>
      <c r="C7" s="29" t="n">
        <v>0.0292237442922374</v>
      </c>
      <c r="D7" s="29" t="n">
        <v>0.00091324200913242</v>
      </c>
      <c r="E7" s="29" t="n">
        <v>0.00136986301369863</v>
      </c>
      <c r="F7" s="30" t="n">
        <f aca="false">C7*(1-Uscite!E12-Uscite!E35)</f>
        <v>0.0269406392694064</v>
      </c>
      <c r="G7" s="31" t="s">
        <v>25</v>
      </c>
      <c r="H7" s="32" t="s">
        <v>71</v>
      </c>
      <c r="I7" s="29" t="n">
        <v>13.9383561643836</v>
      </c>
      <c r="J7" s="33" t="n">
        <f aca="false">1/(I$7+SUM(F7:F9))</f>
        <v>0.0296138035482475</v>
      </c>
      <c r="K7" s="34" t="n">
        <f aca="false">F7*J7</f>
        <v>0.000797814798788403</v>
      </c>
      <c r="L7" s="34" t="n">
        <f aca="false">SUM(K$7:K$9)</f>
        <v>0.58723225876244</v>
      </c>
      <c r="M7" s="33" t="n">
        <f aca="false">IF(MOD(ROW(),3)=1,(L7*J7)/(1-K7),IF(MOD(ROW(),3)=2,(L7*J7)/((1-K7)*(1-K7-K8)), IF(MOD(ROW(),3)=0,(L7*J7)/((1-K7-K8)*(1-L7)))))</f>
        <v>0.0174040659695742</v>
      </c>
      <c r="N7" s="33" t="n">
        <f aca="false">M7+J7</f>
        <v>0.0470178695178217</v>
      </c>
      <c r="O7" s="33" t="n">
        <f aca="false">M7*F7</f>
        <v>0.000468876663107249</v>
      </c>
      <c r="P7" s="33" t="n">
        <f aca="false">N7*F7</f>
        <v>0.00126669146189565</v>
      </c>
    </row>
    <row r="8" customFormat="false" ht="15" hidden="false" customHeight="false" outlineLevel="0" collapsed="false">
      <c r="A8" s="35"/>
      <c r="B8" s="28" t="s">
        <v>21</v>
      </c>
      <c r="C8" s="29" t="n">
        <v>24.6662100456621</v>
      </c>
      <c r="D8" s="29" t="n">
        <v>1.22054794520548</v>
      </c>
      <c r="E8" s="29" t="n">
        <v>2.337899543379</v>
      </c>
      <c r="F8" s="30" t="n">
        <f aca="false">C8*(1-Uscite!E13-Uscite!E36)</f>
        <v>21.1077625570776</v>
      </c>
      <c r="G8" s="31"/>
      <c r="H8" s="32" t="s">
        <v>72</v>
      </c>
      <c r="I8" s="29" t="n">
        <v>9.3986301369863</v>
      </c>
      <c r="J8" s="33" t="n">
        <f aca="false">J7</f>
        <v>0.0296138035482475</v>
      </c>
      <c r="K8" s="34" t="n">
        <f aca="false">F8*J8</f>
        <v>0.625081133708351</v>
      </c>
      <c r="L8" s="34" t="n">
        <f aca="false">L7</f>
        <v>0.58723225876244</v>
      </c>
      <c r="M8" s="33" t="n">
        <f aca="false">IF(MOD(ROW(),3)=1,(L7*J7)/(1-K7),IF(MOD(ROW(),3)=2,(L7*J7)/((1-K7)*(1-K7-K8)), IF(MOD(ROW(),3)=0,(L7*J7)/((1-K7-K8)*(1-L7)))))</f>
        <v>0.046519878793579</v>
      </c>
      <c r="N8" s="33" t="n">
        <f aca="false">M8+J8</f>
        <v>0.0761336823418265</v>
      </c>
      <c r="O8" s="33" t="n">
        <f aca="false">M8*F8</f>
        <v>0.981930555758895</v>
      </c>
      <c r="P8" s="33" t="n">
        <f aca="false">N8*F8</f>
        <v>1.60701168946725</v>
      </c>
    </row>
    <row r="9" customFormat="false" ht="15" hidden="false" customHeight="false" outlineLevel="0" collapsed="false">
      <c r="A9" s="35"/>
      <c r="B9" s="28" t="s">
        <v>23</v>
      </c>
      <c r="C9" s="29" t="n">
        <v>8.64200913242009</v>
      </c>
      <c r="D9" s="29" t="n">
        <v>2.32374429223744</v>
      </c>
      <c r="E9" s="29" t="n">
        <v>7.62328767123288</v>
      </c>
      <c r="F9" s="30" t="n">
        <f aca="false">C9*(1-Uscite!E14-Uscite!E37)</f>
        <v>-1.30502283105023</v>
      </c>
      <c r="G9" s="31"/>
      <c r="H9" s="32" t="s">
        <v>73</v>
      </c>
      <c r="I9" s="29" t="n">
        <v>4.53972602739726</v>
      </c>
      <c r="J9" s="33" t="n">
        <f aca="false">J8</f>
        <v>0.0296138035482475</v>
      </c>
      <c r="K9" s="34" t="n">
        <f aca="false">F9*J9</f>
        <v>-0.0386466897446993</v>
      </c>
      <c r="L9" s="34" t="n">
        <f aca="false">L8</f>
        <v>0.58723225876244</v>
      </c>
      <c r="M9" s="33" t="n">
        <f aca="false">IF(MOD(ROW(),3)=1,(L7*J7)/(1-K7),IF(MOD(ROW(),3)=2,(L7*J7)/((1-K7)*(1-K7-K8)), IF(MOD(ROW(),3)=0,(L7*J7)/((1-K7-K8)*(1-L7)))))</f>
        <v>0.11261239651741</v>
      </c>
      <c r="N9" s="33" t="n">
        <f aca="false">M9+J9</f>
        <v>0.142226200065657</v>
      </c>
      <c r="O9" s="33" t="n">
        <f aca="false">M9*F9</f>
        <v>-0.146961748514501</v>
      </c>
      <c r="P9" s="33" t="n">
        <f aca="false">N9*F9</f>
        <v>-0.1856084382592</v>
      </c>
    </row>
    <row r="10" customFormat="false" ht="15" hidden="false" customHeight="false" outlineLevel="0" collapsed="false">
      <c r="A10" s="27" t="s">
        <v>26</v>
      </c>
      <c r="B10" s="28" t="s">
        <v>19</v>
      </c>
      <c r="C10" s="29" t="n">
        <v>0.0164383561643836</v>
      </c>
      <c r="D10" s="29" t="n">
        <v>0</v>
      </c>
      <c r="E10" s="29" t="n">
        <v>0</v>
      </c>
      <c r="F10" s="30" t="n">
        <f aca="false">C10*(1-Uscite!E16-Uscite!E39)</f>
        <v>0.0164383561643836</v>
      </c>
      <c r="G10" s="31" t="s">
        <v>26</v>
      </c>
      <c r="H10" s="32" t="s">
        <v>71</v>
      </c>
      <c r="I10" s="29" t="n">
        <v>4.32420091324201</v>
      </c>
      <c r="J10" s="33" t="n">
        <f aca="false">1/(I$10+SUM(F10:F12))</f>
        <v>0.0793018539976825</v>
      </c>
      <c r="K10" s="34" t="n">
        <f aca="false">F10*J10</f>
        <v>0.00130359212050985</v>
      </c>
      <c r="L10" s="34" t="n">
        <f aca="false">SUM(K$10:K$12)</f>
        <v>0.657082850521437</v>
      </c>
      <c r="M10" s="33" t="n">
        <f aca="false">IF(MOD(ROW(),3)=1,(L10*J10)/(1-K10),IF(MOD(ROW(),3)=2,(L10*J10)/((1-K10)*(1-K10-K11)), IF(MOD(ROW(),3)=0,(L10*J10)/((1-K10-K11)*(1-L10)))))</f>
        <v>0.0521759043742548</v>
      </c>
      <c r="N10" s="33" t="n">
        <f aca="false">M10+J10</f>
        <v>0.131477758371937</v>
      </c>
      <c r="O10" s="33" t="n">
        <f aca="false">M10*F10</f>
        <v>0.000857686099302818</v>
      </c>
      <c r="P10" s="33" t="n">
        <f aca="false">N10*F10</f>
        <v>0.00216127821981267</v>
      </c>
    </row>
    <row r="11" customFormat="false" ht="15" hidden="false" customHeight="false" outlineLevel="0" collapsed="false">
      <c r="A11" s="35"/>
      <c r="B11" s="28" t="s">
        <v>21</v>
      </c>
      <c r="C11" s="29" t="n">
        <v>11.5013698630137</v>
      </c>
      <c r="D11" s="29" t="n">
        <v>0.775799086757991</v>
      </c>
      <c r="E11" s="29" t="n">
        <v>1.24383561643836</v>
      </c>
      <c r="F11" s="30" t="n">
        <f aca="false">C11*(1-Uscite!E17-Uscite!E40)</f>
        <v>9.48173515981735</v>
      </c>
      <c r="G11" s="31"/>
      <c r="H11" s="32" t="s">
        <v>72</v>
      </c>
      <c r="I11" s="29" t="n">
        <v>2.98767123287671</v>
      </c>
      <c r="J11" s="33" t="n">
        <f aca="false">J10</f>
        <v>0.0793018539976825</v>
      </c>
      <c r="K11" s="34" t="n">
        <f aca="false">F11*J11</f>
        <v>0.751919177288528</v>
      </c>
      <c r="L11" s="34" t="n">
        <f aca="false">L10</f>
        <v>0.657082850521437</v>
      </c>
      <c r="M11" s="33" t="n">
        <f aca="false">IF(MOD(ROW(),3)=1,(L10*J10)/(1-K10),IF(MOD(ROW(),3)=2,(L10*J10)/((1-K10)*(1-K10-K11)), IF(MOD(ROW(),3)=0,(L10*J10)/((1-K10-K11)*(1-L10)))))</f>
        <v>0.211429167307325</v>
      </c>
      <c r="N11" s="33" t="n">
        <f aca="false">M11+J11</f>
        <v>0.290731021305007</v>
      </c>
      <c r="O11" s="33" t="n">
        <f aca="false">M11*F11</f>
        <v>2.00471536946877</v>
      </c>
      <c r="P11" s="33" t="n">
        <f aca="false">N11*F11</f>
        <v>2.7566345467573</v>
      </c>
    </row>
    <row r="12" customFormat="false" ht="15" hidden="false" customHeight="false" outlineLevel="0" collapsed="false">
      <c r="A12" s="35"/>
      <c r="B12" s="28" t="s">
        <v>23</v>
      </c>
      <c r="C12" s="29" t="n">
        <v>3.72465753424658</v>
      </c>
      <c r="D12" s="29" t="n">
        <v>1.21232876712329</v>
      </c>
      <c r="E12" s="29" t="n">
        <v>3.99908675799087</v>
      </c>
      <c r="F12" s="30" t="n">
        <f aca="false">C12*(1-Uscite!E18-Uscite!E41)</f>
        <v>-1.21232876712329</v>
      </c>
      <c r="G12" s="31"/>
      <c r="H12" s="32" t="s">
        <v>73</v>
      </c>
      <c r="I12" s="29" t="n">
        <v>1.3365296803653</v>
      </c>
      <c r="J12" s="33" t="n">
        <f aca="false">J11</f>
        <v>0.0793018539976825</v>
      </c>
      <c r="K12" s="34" t="n">
        <f aca="false">F12*J12</f>
        <v>-0.0961399188876014</v>
      </c>
      <c r="L12" s="34" t="n">
        <f aca="false">L11</f>
        <v>0.657082850521437</v>
      </c>
      <c r="M12" s="33" t="n">
        <f aca="false">IF(MOD(ROW(),3)=1,(L10*J10)/(1-K10),IF(MOD(ROW(),3)=2,(L10*J10)/((1-K10)*(1-K10-K11)), IF(MOD(ROW(),3)=0,(L10*J10)/((1-K10-K11)*(1-L10)))))</f>
        <v>0.615756751249844</v>
      </c>
      <c r="N12" s="33" t="n">
        <f aca="false">M12+J12</f>
        <v>0.695058605247527</v>
      </c>
      <c r="O12" s="33" t="n">
        <f aca="false">M12*F12</f>
        <v>-0.746499623090565</v>
      </c>
      <c r="P12" s="33" t="n">
        <f aca="false">N12*F12</f>
        <v>-0.842639541978166</v>
      </c>
    </row>
    <row r="13" customFormat="false" ht="15" hidden="false" customHeight="false" outlineLevel="0" collapsed="false">
      <c r="A13" s="27" t="s">
        <v>27</v>
      </c>
      <c r="B13" s="28" t="s">
        <v>19</v>
      </c>
      <c r="C13" s="29" t="n">
        <v>0.0045662100456621</v>
      </c>
      <c r="D13" s="29" t="n">
        <v>0</v>
      </c>
      <c r="E13" s="29" t="n">
        <v>0.00136986301369863</v>
      </c>
      <c r="F13" s="30" t="n">
        <f aca="false">C13*(1-Uscite!E20-Uscite!E43)</f>
        <v>0.00319634703196347</v>
      </c>
      <c r="G13" s="31" t="s">
        <v>27</v>
      </c>
      <c r="H13" s="32" t="s">
        <v>71</v>
      </c>
      <c r="I13" s="29" t="n">
        <v>1.09041095890411</v>
      </c>
      <c r="J13" s="33" t="n">
        <f aca="false">1/(I$13+SUM(F13:F15))</f>
        <v>0.270604225874212</v>
      </c>
      <c r="K13" s="34" t="n">
        <f aca="false">F13*J13</f>
        <v>0.000864945014209811</v>
      </c>
      <c r="L13" s="34" t="n">
        <f aca="false">SUM(K$13:K$15)</f>
        <v>0.704930186580996</v>
      </c>
      <c r="M13" s="33" t="n">
        <f aca="false">IF(MOD(ROW(),3)=1,(L13*J13)/(1-K13),IF(MOD(ROW(),3)=2,(L13*J13)/((1-K13)*(1-K13-K14)), IF(MOD(ROW(),3)=0,(L13*J13)/((1-K13-K14)*(1-L13)))))</f>
        <v>0.190922224661437</v>
      </c>
      <c r="N13" s="33" t="n">
        <f aca="false">M13+J13</f>
        <v>0.46152645053565</v>
      </c>
      <c r="O13" s="33" t="n">
        <f aca="false">M13*F13</f>
        <v>0.000610253686132448</v>
      </c>
      <c r="P13" s="33" t="n">
        <f aca="false">N13*F13</f>
        <v>0.00147519870034226</v>
      </c>
    </row>
    <row r="14" customFormat="false" ht="15" hidden="false" customHeight="false" outlineLevel="0" collapsed="false">
      <c r="A14" s="35"/>
      <c r="B14" s="28" t="s">
        <v>21</v>
      </c>
      <c r="C14" s="29" t="n">
        <v>2.87990867579909</v>
      </c>
      <c r="D14" s="29" t="n">
        <v>0.105479452054795</v>
      </c>
      <c r="E14" s="29" t="n">
        <v>0.210958904109589</v>
      </c>
      <c r="F14" s="30" t="n">
        <f aca="false">C14*(1-Uscite!E21-Uscite!E44)</f>
        <v>2.5634703196347</v>
      </c>
      <c r="G14" s="31"/>
      <c r="H14" s="32" t="s">
        <v>72</v>
      </c>
      <c r="I14" s="29" t="n">
        <v>0.871689497716895</v>
      </c>
      <c r="J14" s="33" t="n">
        <f aca="false">J13</f>
        <v>0.270604225874212</v>
      </c>
      <c r="K14" s="34" t="n">
        <f aca="false">F14*J14</f>
        <v>0.693685901396268</v>
      </c>
      <c r="L14" s="34" t="n">
        <f aca="false">L13</f>
        <v>0.704930186580996</v>
      </c>
      <c r="M14" s="33" t="n">
        <f aca="false">IF(MOD(ROW(),3)=1,(L13*J13)/(1-K13),IF(MOD(ROW(),3)=2,(L13*J13)/((1-K13)*(1-K13-K14)), IF(MOD(ROW(),3)=0,(L13*J13)/((1-K13-K14)*(1-L13)))))</f>
        <v>0.62505403081918</v>
      </c>
      <c r="N14" s="33" t="n">
        <f aca="false">M14+J14</f>
        <v>0.895658256693392</v>
      </c>
      <c r="O14" s="33" t="n">
        <f aca="false">M14*F14</f>
        <v>1.602307456173</v>
      </c>
      <c r="P14" s="33" t="n">
        <f aca="false">N14*F14</f>
        <v>2.29599335756927</v>
      </c>
    </row>
    <row r="15" customFormat="false" ht="15" hidden="false" customHeight="false" outlineLevel="0" collapsed="false">
      <c r="A15" s="35"/>
      <c r="B15" s="28" t="s">
        <v>23</v>
      </c>
      <c r="C15" s="29" t="n">
        <v>1.01917808219178</v>
      </c>
      <c r="D15" s="29" t="n">
        <v>0.225114155251142</v>
      </c>
      <c r="E15" s="29" t="n">
        <v>0.755707762557078</v>
      </c>
      <c r="F15" s="30" t="n">
        <f aca="false">C15*(1-Uscite!E22-Uscite!E45)</f>
        <v>0.0383561643835617</v>
      </c>
      <c r="G15" s="31"/>
      <c r="H15" s="32" t="s">
        <v>73</v>
      </c>
      <c r="I15" s="29" t="n">
        <v>0.218721461187215</v>
      </c>
      <c r="J15" s="33" t="n">
        <f aca="false">J14</f>
        <v>0.270604225874212</v>
      </c>
      <c r="K15" s="34" t="n">
        <f aca="false">F15*J15</f>
        <v>0.0103793401705178</v>
      </c>
      <c r="L15" s="34" t="n">
        <f aca="false">L14</f>
        <v>0.704930186580996</v>
      </c>
      <c r="M15" s="33" t="n">
        <f aca="false">IF(MOD(ROW(),3)=1,(L13*J13)/(1-K13),IF(MOD(ROW(),3)=2,(L13*J13)/((1-K13)*(1-K13-K14)), IF(MOD(ROW(),3)=0,(L13*J13)/((1-K13-K14)*(1-L13)))))</f>
        <v>2.11649367387097</v>
      </c>
      <c r="N15" s="33" t="n">
        <f aca="false">M15+J15</f>
        <v>2.38709789974519</v>
      </c>
      <c r="O15" s="33" t="n">
        <f aca="false">M15*F15</f>
        <v>0.0811805792717636</v>
      </c>
      <c r="P15" s="33" t="n">
        <f aca="false">N15*F15</f>
        <v>0.0915599194422813</v>
      </c>
    </row>
    <row r="16" customFormat="false" ht="15" hidden="false" customHeight="false" outlineLevel="0" collapsed="false">
      <c r="A16" s="36"/>
      <c r="B16" s="36"/>
      <c r="C16" s="36"/>
      <c r="D16" s="36"/>
      <c r="E16" s="36"/>
      <c r="F16" s="36"/>
      <c r="I16" s="8"/>
      <c r="J16" s="8"/>
      <c r="K16" s="8"/>
      <c r="L16" s="8"/>
    </row>
    <row r="17" customFormat="false" ht="15.75" hidden="false" customHeight="false" outlineLevel="0" collapsed="false"/>
    <row r="18" customFormat="false" ht="15.75" hidden="false" customHeight="false" outlineLevel="0" collapsed="false">
      <c r="A18" s="37" t="s">
        <v>74</v>
      </c>
      <c r="B18" s="37"/>
      <c r="C18" s="37"/>
      <c r="D18" s="37"/>
      <c r="E18" s="37"/>
      <c r="F18" s="37"/>
      <c r="G18" s="37"/>
    </row>
    <row r="19" customFormat="false" ht="15.75" hidden="false" customHeight="false" outlineLevel="0" collapsed="false">
      <c r="A19" s="38" t="s">
        <v>2</v>
      </c>
      <c r="B19" s="39" t="s">
        <v>3</v>
      </c>
      <c r="C19" s="40" t="s">
        <v>75</v>
      </c>
      <c r="D19" s="17" t="s">
        <v>58</v>
      </c>
      <c r="E19" s="41" t="s">
        <v>59</v>
      </c>
      <c r="F19" s="18" t="s">
        <v>61</v>
      </c>
      <c r="G19" s="18" t="s">
        <v>63</v>
      </c>
    </row>
    <row r="20" customFormat="false" ht="15" hidden="false" customHeight="false" outlineLevel="0" collapsed="false">
      <c r="A20" s="42" t="s">
        <v>24</v>
      </c>
      <c r="B20" s="20" t="s">
        <v>19</v>
      </c>
      <c r="C20" s="43" t="n">
        <f aca="false">Uscite!D55</f>
        <v>0.0205479452054794</v>
      </c>
      <c r="D20" s="34" t="n">
        <f aca="false">4/24</f>
        <v>0.166666666666667</v>
      </c>
      <c r="E20" s="34" t="n">
        <f aca="false">D20*C20</f>
        <v>0.00342465753424658</v>
      </c>
      <c r="F20" s="34" t="n">
        <f aca="false">D20</f>
        <v>0.166666666666667</v>
      </c>
      <c r="G20" s="34" t="n">
        <f aca="false">F20*C20</f>
        <v>0.00342465753424658</v>
      </c>
    </row>
    <row r="21" customFormat="false" ht="15" hidden="false" customHeight="false" outlineLevel="0" collapsed="false">
      <c r="A21" s="35"/>
      <c r="B21" s="28" t="s">
        <v>21</v>
      </c>
      <c r="C21" s="43" t="n">
        <f aca="false">Uscite!D56</f>
        <v>22.4301369863014</v>
      </c>
      <c r="D21" s="34" t="n">
        <f aca="false">4/24</f>
        <v>0.166666666666667</v>
      </c>
      <c r="E21" s="34" t="n">
        <f aca="false">D21*C21</f>
        <v>3.73835616438356</v>
      </c>
      <c r="F21" s="34" t="n">
        <f aca="false">D21</f>
        <v>0.166666666666667</v>
      </c>
      <c r="G21" s="34" t="n">
        <f aca="false">F21*C21</f>
        <v>3.73835616438356</v>
      </c>
    </row>
    <row r="22" customFormat="false" ht="15" hidden="false" customHeight="false" outlineLevel="0" collapsed="false">
      <c r="A22" s="35"/>
      <c r="B22" s="28" t="s">
        <v>23</v>
      </c>
      <c r="C22" s="43" t="n">
        <f aca="false">Uscite!D57</f>
        <v>1.80045662100457</v>
      </c>
      <c r="D22" s="34" t="n">
        <f aca="false">4/24</f>
        <v>0.166666666666667</v>
      </c>
      <c r="E22" s="34" t="n">
        <f aca="false">D22*C22</f>
        <v>0.300076103500761</v>
      </c>
      <c r="F22" s="34" t="n">
        <f aca="false">D22</f>
        <v>0.166666666666667</v>
      </c>
      <c r="G22" s="34" t="n">
        <f aca="false">F22*C22</f>
        <v>0.300076103500761</v>
      </c>
    </row>
    <row r="23" customFormat="false" ht="15" hidden="false" customHeight="false" outlineLevel="0" collapsed="false">
      <c r="A23" s="27" t="s">
        <v>25</v>
      </c>
      <c r="B23" s="28" t="s">
        <v>19</v>
      </c>
      <c r="C23" s="29" t="n">
        <f aca="false">Uscite!D59</f>
        <v>0.0118721461187215</v>
      </c>
      <c r="D23" s="34" t="n">
        <f aca="false">4/24</f>
        <v>0.166666666666667</v>
      </c>
      <c r="E23" s="34" t="n">
        <f aca="false">D23*C23</f>
        <v>0.00197869101978691</v>
      </c>
      <c r="F23" s="34" t="n">
        <f aca="false">D23</f>
        <v>0.166666666666667</v>
      </c>
      <c r="G23" s="34" t="n">
        <f aca="false">F23*C23</f>
        <v>0.00197869101978691</v>
      </c>
    </row>
    <row r="24" customFormat="false" ht="15" hidden="false" customHeight="false" outlineLevel="0" collapsed="false">
      <c r="A24" s="35"/>
      <c r="B24" s="28" t="s">
        <v>21</v>
      </c>
      <c r="C24" s="29" t="n">
        <f aca="false">Uscite!D60</f>
        <v>17.7397260273973</v>
      </c>
      <c r="D24" s="34" t="n">
        <f aca="false">4/24</f>
        <v>0.166666666666667</v>
      </c>
      <c r="E24" s="34" t="n">
        <f aca="false">D24*C24</f>
        <v>2.95662100456621</v>
      </c>
      <c r="F24" s="34" t="n">
        <f aca="false">D24</f>
        <v>0.166666666666667</v>
      </c>
      <c r="G24" s="34" t="n">
        <f aca="false">F24*C24</f>
        <v>2.95662100456621</v>
      </c>
    </row>
    <row r="25" customFormat="false" ht="15" hidden="false" customHeight="false" outlineLevel="0" collapsed="false">
      <c r="A25" s="35"/>
      <c r="B25" s="28" t="s">
        <v>23</v>
      </c>
      <c r="C25" s="29" t="n">
        <f aca="false">Uscite!D61</f>
        <v>1.71324200913242</v>
      </c>
      <c r="D25" s="34" t="n">
        <f aca="false">4/24</f>
        <v>0.166666666666667</v>
      </c>
      <c r="E25" s="34" t="n">
        <f aca="false">D25*C25</f>
        <v>0.285540334855403</v>
      </c>
      <c r="F25" s="34" t="n">
        <f aca="false">D25</f>
        <v>0.166666666666667</v>
      </c>
      <c r="G25" s="34" t="n">
        <f aca="false">F25*C25</f>
        <v>0.285540334855403</v>
      </c>
    </row>
    <row r="26" customFormat="false" ht="15" hidden="false" customHeight="false" outlineLevel="0" collapsed="false">
      <c r="A26" s="27" t="s">
        <v>26</v>
      </c>
      <c r="B26" s="28" t="s">
        <v>19</v>
      </c>
      <c r="C26" s="29" t="n">
        <f aca="false">Uscite!D63</f>
        <v>0.0105022831050228</v>
      </c>
      <c r="D26" s="34" t="n">
        <f aca="false">4/24</f>
        <v>0.166666666666667</v>
      </c>
      <c r="E26" s="34" t="n">
        <f aca="false">D26*C26</f>
        <v>0.00175038051750381</v>
      </c>
      <c r="F26" s="34" t="n">
        <f aca="false">D26</f>
        <v>0.166666666666667</v>
      </c>
      <c r="G26" s="34" t="n">
        <f aca="false">F26*C26</f>
        <v>0.00175038051750381</v>
      </c>
    </row>
    <row r="27" customFormat="false" ht="15" hidden="false" customHeight="false" outlineLevel="0" collapsed="false">
      <c r="A27" s="35"/>
      <c r="B27" s="28" t="s">
        <v>21</v>
      </c>
      <c r="C27" s="29" t="n">
        <f aca="false">Uscite!D64</f>
        <v>6.7986301369863</v>
      </c>
      <c r="D27" s="34" t="n">
        <f aca="false">4/24</f>
        <v>0.166666666666667</v>
      </c>
      <c r="E27" s="34" t="n">
        <f aca="false">D27*C27</f>
        <v>1.13310502283105</v>
      </c>
      <c r="F27" s="34" t="n">
        <f aca="false">D27</f>
        <v>0.166666666666667</v>
      </c>
      <c r="G27" s="34" t="n">
        <f aca="false">F27*C27</f>
        <v>1.13310502283105</v>
      </c>
    </row>
    <row r="28" customFormat="false" ht="15" hidden="false" customHeight="false" outlineLevel="0" collapsed="false">
      <c r="A28" s="35"/>
      <c r="B28" s="28" t="s">
        <v>23</v>
      </c>
      <c r="C28" s="29" t="n">
        <f aca="false">Uscite!D65</f>
        <v>0.542922374429224</v>
      </c>
      <c r="D28" s="34" t="n">
        <f aca="false">4/24</f>
        <v>0.166666666666667</v>
      </c>
      <c r="E28" s="34" t="n">
        <f aca="false">D28*C28</f>
        <v>0.0904870624048706</v>
      </c>
      <c r="F28" s="34" t="n">
        <f aca="false">D28</f>
        <v>0.166666666666667</v>
      </c>
      <c r="G28" s="34" t="n">
        <f aca="false">F28*C28</f>
        <v>0.0904870624048706</v>
      </c>
    </row>
    <row r="29" customFormat="false" ht="15" hidden="false" customHeight="false" outlineLevel="0" collapsed="false">
      <c r="A29" s="27" t="s">
        <v>27</v>
      </c>
      <c r="B29" s="28" t="s">
        <v>19</v>
      </c>
      <c r="C29" s="29" t="n">
        <f aca="false">Uscite!D67</f>
        <v>0.00228310502283105</v>
      </c>
      <c r="D29" s="34" t="n">
        <f aca="false">4/24</f>
        <v>0.166666666666667</v>
      </c>
      <c r="E29" s="34" t="n">
        <f aca="false">D29*C29</f>
        <v>0.000380517503805175</v>
      </c>
      <c r="F29" s="34" t="n">
        <f aca="false">D29</f>
        <v>0.166666666666667</v>
      </c>
      <c r="G29" s="34" t="n">
        <f aca="false">F29*C29</f>
        <v>0.000380517503805175</v>
      </c>
    </row>
    <row r="30" customFormat="false" ht="15" hidden="false" customHeight="false" outlineLevel="0" collapsed="false">
      <c r="A30" s="35"/>
      <c r="B30" s="28" t="s">
        <v>21</v>
      </c>
      <c r="C30" s="29" t="n">
        <f aca="false">Uscite!D68</f>
        <v>2.44566210045662</v>
      </c>
      <c r="D30" s="34" t="n">
        <f aca="false">4/24</f>
        <v>0.166666666666667</v>
      </c>
      <c r="E30" s="34" t="n">
        <f aca="false">D30*C30</f>
        <v>0.407610350076103</v>
      </c>
      <c r="F30" s="34" t="n">
        <f aca="false">D30</f>
        <v>0.166666666666667</v>
      </c>
      <c r="G30" s="34" t="n">
        <f aca="false">F30*C30</f>
        <v>0.407610350076103</v>
      </c>
    </row>
    <row r="31" customFormat="false" ht="15" hidden="false" customHeight="false" outlineLevel="0" collapsed="false">
      <c r="A31" s="35"/>
      <c r="B31" s="28" t="s">
        <v>23</v>
      </c>
      <c r="C31" s="29" t="n">
        <f aca="false">Uscite!D69</f>
        <v>0.178995433789954</v>
      </c>
      <c r="D31" s="34" t="n">
        <f aca="false">4/24</f>
        <v>0.166666666666667</v>
      </c>
      <c r="E31" s="34" t="n">
        <f aca="false">D31*C31</f>
        <v>0.0298325722983257</v>
      </c>
      <c r="F31" s="34" t="n">
        <f aca="false">D31</f>
        <v>0.166666666666667</v>
      </c>
      <c r="G31" s="34" t="n">
        <f aca="false">F31*C31</f>
        <v>0.0298325722983257</v>
      </c>
    </row>
    <row r="32" customFormat="false" ht="15" hidden="false" customHeight="false" outlineLevel="0" collapsed="false">
      <c r="D32" s="36"/>
    </row>
  </sheetData>
  <mergeCells count="5">
    <mergeCell ref="A1:P1"/>
    <mergeCell ref="A2:F2"/>
    <mergeCell ref="G2:I2"/>
    <mergeCell ref="K2:L2"/>
    <mergeCell ref="A18:G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70703125" defaultRowHeight="15" zeroHeight="false" outlineLevelRow="0" outlineLevelCol="0"/>
  <cols>
    <col collapsed="false" customWidth="true" hidden="false" outlineLevel="0" max="3" min="2" style="0" width="20.14"/>
    <col collapsed="false" customWidth="true" hidden="false" outlineLevel="0" max="4" min="4" style="0" width="21.14"/>
    <col collapsed="false" customWidth="true" hidden="false" outlineLevel="0" max="5" min="5" style="0" width="23.15"/>
    <col collapsed="false" customWidth="true" hidden="false" outlineLevel="0" max="6" min="6" style="0" width="19.42"/>
    <col collapsed="false" customWidth="true" hidden="false" outlineLevel="0" max="7" min="7" style="0" width="11.57"/>
    <col collapsed="false" customWidth="true" hidden="false" outlineLevel="0" max="8" min="8" style="0" width="10.99"/>
  </cols>
  <sheetData>
    <row r="1" customFormat="false" ht="15.75" hidden="false" customHeight="false" outlineLevel="0" collapsed="false">
      <c r="A1" s="37" t="s">
        <v>76</v>
      </c>
      <c r="B1" s="37"/>
      <c r="C1" s="37"/>
      <c r="D1" s="37"/>
      <c r="E1" s="37"/>
      <c r="F1" s="37"/>
      <c r="G1" s="37"/>
      <c r="H1" s="37"/>
    </row>
    <row r="2" customFormat="false" ht="15.75" hidden="false" customHeight="false" outlineLevel="0" collapsed="false">
      <c r="A2" s="18" t="s">
        <v>2</v>
      </c>
      <c r="B2" s="44" t="s">
        <v>64</v>
      </c>
      <c r="C2" s="45" t="s">
        <v>77</v>
      </c>
      <c r="D2" s="45" t="s">
        <v>78</v>
      </c>
      <c r="E2" s="46" t="s">
        <v>79</v>
      </c>
      <c r="F2" s="17" t="s">
        <v>58</v>
      </c>
      <c r="G2" s="18" t="s">
        <v>61</v>
      </c>
      <c r="H2" s="18" t="s">
        <v>63</v>
      </c>
    </row>
    <row r="3" customFormat="false" ht="15" hidden="false" customHeight="false" outlineLevel="0" collapsed="false">
      <c r="A3" s="42" t="s">
        <v>24</v>
      </c>
      <c r="B3" s="43" t="n">
        <v>12.2328767123288</v>
      </c>
      <c r="C3" s="43" t="n">
        <v>0.322657708100037</v>
      </c>
      <c r="D3" s="43" t="n">
        <v>1</v>
      </c>
      <c r="E3" s="47" t="n">
        <f aca="false">B3*(1-(C3/B3)-(D3/B3))</f>
        <v>10.9102190042287</v>
      </c>
      <c r="F3" s="33" t="n">
        <f aca="false">(5*365)/2</f>
        <v>912.5</v>
      </c>
      <c r="G3" s="33" t="n">
        <f aca="false">(5*365)/2</f>
        <v>912.5</v>
      </c>
      <c r="H3" s="33" t="n">
        <f aca="false">G3*E3</f>
        <v>9955.57484135872</v>
      </c>
    </row>
    <row r="4" customFormat="false" ht="15" hidden="false" customHeight="false" outlineLevel="0" collapsed="false">
      <c r="A4" s="27" t="s">
        <v>25</v>
      </c>
      <c r="B4" s="29" t="n">
        <v>8.64200913242009</v>
      </c>
      <c r="C4" s="29" t="n">
        <v>0.26888935855437</v>
      </c>
      <c r="D4" s="29" t="n">
        <v>0.882119835147416</v>
      </c>
      <c r="E4" s="47" t="n">
        <f aca="false">B4*(1-(C4/B4)-(D4/B4))</f>
        <v>7.49099993871831</v>
      </c>
      <c r="F4" s="33" t="n">
        <f aca="false">(5*365)/2</f>
        <v>912.5</v>
      </c>
      <c r="G4" s="33" t="n">
        <f aca="false">(5*365)/2</f>
        <v>912.5</v>
      </c>
      <c r="H4" s="33" t="n">
        <f aca="false">G4*E4</f>
        <v>6835.53744408045</v>
      </c>
    </row>
    <row r="5" customFormat="false" ht="15" hidden="false" customHeight="false" outlineLevel="0" collapsed="false">
      <c r="A5" s="27" t="s">
        <v>26</v>
      </c>
      <c r="B5" s="29" t="n">
        <v>3.72465753424658</v>
      </c>
      <c r="C5" s="29" t="n">
        <v>0.325487311511585</v>
      </c>
      <c r="D5" s="29" t="n">
        <v>1</v>
      </c>
      <c r="E5" s="47" t="n">
        <f aca="false">B5*(1-(C5/B5)-(D5/B5))</f>
        <v>2.39917022273499</v>
      </c>
      <c r="F5" s="33" t="n">
        <f aca="false">(5*365)/2</f>
        <v>912.5</v>
      </c>
      <c r="G5" s="33" t="n">
        <f aca="false">(5*365)/2</f>
        <v>912.5</v>
      </c>
      <c r="H5" s="33" t="n">
        <f aca="false">G5*E5</f>
        <v>2189.24282824568</v>
      </c>
    </row>
    <row r="6" customFormat="false" ht="15" hidden="false" customHeight="false" outlineLevel="0" collapsed="false">
      <c r="A6" s="27" t="s">
        <v>27</v>
      </c>
      <c r="B6" s="29" t="n">
        <v>1.01917808219178</v>
      </c>
      <c r="C6" s="29" t="n">
        <v>0.220878136200717</v>
      </c>
      <c r="D6" s="29" t="n">
        <v>0.741487455197133</v>
      </c>
      <c r="E6" s="47" t="n">
        <f aca="false">B6*(1-(C6/B6)-(D6/B6))</f>
        <v>0.0568124907939314</v>
      </c>
      <c r="F6" s="33" t="n">
        <f aca="false">(5*365)/2</f>
        <v>912.5</v>
      </c>
      <c r="G6" s="33" t="n">
        <f aca="false">(5*365)/2</f>
        <v>912.5</v>
      </c>
      <c r="H6" s="33" t="n">
        <f aca="false">G6*E6</f>
        <v>51.8413978494624</v>
      </c>
    </row>
    <row r="7" customFormat="false" ht="15.75" hidden="false" customHeight="false" outlineLevel="0" collapsed="false">
      <c r="A7" s="36"/>
      <c r="B7" s="36"/>
      <c r="C7" s="36"/>
      <c r="D7" s="36"/>
      <c r="E7" s="48"/>
      <c r="F7" s="8"/>
      <c r="G7" s="8"/>
      <c r="H7" s="8"/>
    </row>
    <row r="8" customFormat="false" ht="15.75" hidden="false" customHeight="false" outlineLevel="0" collapsed="false">
      <c r="A8" s="37" t="s">
        <v>80</v>
      </c>
      <c r="B8" s="37"/>
      <c r="C8" s="37"/>
      <c r="D8" s="37"/>
      <c r="E8" s="37"/>
      <c r="F8" s="37"/>
    </row>
    <row r="9" customFormat="false" ht="15.75" hidden="false" customHeight="false" outlineLevel="0" collapsed="false">
      <c r="A9" s="44" t="s">
        <v>2</v>
      </c>
      <c r="B9" s="45" t="s">
        <v>3</v>
      </c>
      <c r="C9" s="45" t="s">
        <v>64</v>
      </c>
      <c r="D9" s="45" t="s">
        <v>65</v>
      </c>
      <c r="E9" s="49" t="s">
        <v>66</v>
      </c>
      <c r="F9" s="18" t="s">
        <v>67</v>
      </c>
    </row>
    <row r="10" customFormat="false" ht="15" hidden="false" customHeight="false" outlineLevel="0" collapsed="false">
      <c r="A10" s="42" t="s">
        <v>24</v>
      </c>
      <c r="B10" s="20" t="s">
        <v>19</v>
      </c>
      <c r="C10" s="43" t="n">
        <v>0.052054794520548</v>
      </c>
      <c r="D10" s="43" t="n">
        <v>0.00273972602739726</v>
      </c>
      <c r="E10" s="43" t="n">
        <v>0.00639269406392694</v>
      </c>
      <c r="F10" s="50" t="n">
        <v>0.0429223744292237</v>
      </c>
    </row>
    <row r="11" customFormat="false" ht="15" hidden="false" customHeight="false" outlineLevel="0" collapsed="false">
      <c r="A11" s="35"/>
      <c r="B11" s="28" t="s">
        <v>21</v>
      </c>
      <c r="C11" s="29" t="n">
        <v>37.6803652968037</v>
      </c>
      <c r="D11" s="29" t="n">
        <v>2.50365296803653</v>
      </c>
      <c r="E11" s="29" t="n">
        <v>4.16849315068493</v>
      </c>
      <c r="F11" s="51" t="n">
        <v>31.0082191780822</v>
      </c>
    </row>
    <row r="12" customFormat="false" ht="15" hidden="false" customHeight="false" outlineLevel="0" collapsed="false">
      <c r="A12" s="27" t="s">
        <v>25</v>
      </c>
      <c r="B12" s="28" t="s">
        <v>19</v>
      </c>
      <c r="C12" s="29" t="n">
        <v>0.0292237442922374</v>
      </c>
      <c r="D12" s="29" t="n">
        <v>0.00091324200913242</v>
      </c>
      <c r="E12" s="29" t="n">
        <v>0.00136986301369863</v>
      </c>
      <c r="F12" s="51" t="n">
        <v>0.0269406392694064</v>
      </c>
    </row>
    <row r="13" customFormat="false" ht="15" hidden="false" customHeight="false" outlineLevel="0" collapsed="false">
      <c r="A13" s="35"/>
      <c r="B13" s="28" t="s">
        <v>21</v>
      </c>
      <c r="C13" s="29" t="n">
        <v>24.6662100456621</v>
      </c>
      <c r="D13" s="29" t="n">
        <v>1.22054794520548</v>
      </c>
      <c r="E13" s="29" t="n">
        <v>2.337899543379</v>
      </c>
      <c r="F13" s="51" t="n">
        <v>21.1077625570776</v>
      </c>
    </row>
    <row r="14" customFormat="false" ht="15" hidden="false" customHeight="false" outlineLevel="0" collapsed="false">
      <c r="A14" s="27" t="s">
        <v>26</v>
      </c>
      <c r="B14" s="28" t="s">
        <v>19</v>
      </c>
      <c r="C14" s="29" t="n">
        <v>0.0164383561643836</v>
      </c>
      <c r="D14" s="29" t="n">
        <v>0</v>
      </c>
      <c r="E14" s="29" t="n">
        <v>0</v>
      </c>
      <c r="F14" s="51" t="n">
        <v>0.0164383561643836</v>
      </c>
    </row>
    <row r="15" customFormat="false" ht="15" hidden="false" customHeight="false" outlineLevel="0" collapsed="false">
      <c r="A15" s="35"/>
      <c r="B15" s="28" t="s">
        <v>21</v>
      </c>
      <c r="C15" s="29" t="n">
        <v>11.5013698630137</v>
      </c>
      <c r="D15" s="29" t="n">
        <v>0.775799086757991</v>
      </c>
      <c r="E15" s="29" t="n">
        <v>1.24383561643836</v>
      </c>
      <c r="F15" s="51" t="n">
        <v>9.48173515981735</v>
      </c>
    </row>
    <row r="16" customFormat="false" ht="15" hidden="false" customHeight="false" outlineLevel="0" collapsed="false">
      <c r="A16" s="27" t="s">
        <v>27</v>
      </c>
      <c r="B16" s="28" t="s">
        <v>19</v>
      </c>
      <c r="C16" s="29" t="n">
        <v>0.0045662100456621</v>
      </c>
      <c r="D16" s="29" t="n">
        <v>0</v>
      </c>
      <c r="E16" s="29" t="n">
        <v>0.00136986301369863</v>
      </c>
      <c r="F16" s="51" t="n">
        <v>0.00319634703196347</v>
      </c>
    </row>
    <row r="17" customFormat="false" ht="15" hidden="false" customHeight="false" outlineLevel="0" collapsed="false">
      <c r="A17" s="35"/>
      <c r="B17" s="28" t="s">
        <v>21</v>
      </c>
      <c r="C17" s="29" t="n">
        <v>2.87990867579909</v>
      </c>
      <c r="D17" s="29" t="n">
        <v>0.105479452054795</v>
      </c>
      <c r="E17" s="29" t="n">
        <v>0.210958904109589</v>
      </c>
      <c r="F17" s="51" t="n">
        <v>2.5634703196347</v>
      </c>
    </row>
    <row r="18" customFormat="false" ht="15.75" hidden="false" customHeight="false" outlineLevel="0" collapsed="false">
      <c r="A18" s="36"/>
      <c r="B18" s="36"/>
      <c r="C18" s="36"/>
      <c r="D18" s="36"/>
      <c r="E18" s="36"/>
      <c r="F18" s="48"/>
    </row>
    <row r="19" customFormat="false" ht="15.75" hidden="false" customHeight="false" outlineLevel="0" collapsed="false">
      <c r="A19" s="37" t="s">
        <v>81</v>
      </c>
      <c r="B19" s="37"/>
      <c r="C19" s="37"/>
      <c r="D19" s="36"/>
      <c r="E19" s="52" t="s">
        <v>82</v>
      </c>
      <c r="F19" s="52"/>
      <c r="G19" s="52"/>
      <c r="H19" s="52"/>
      <c r="I19" s="52"/>
      <c r="J19" s="52"/>
      <c r="K19" s="52"/>
      <c r="L19" s="52"/>
      <c r="M19" s="52"/>
    </row>
    <row r="20" customFormat="false" ht="15.75" hidden="false" customHeight="false" outlineLevel="0" collapsed="false">
      <c r="A20" s="44" t="s">
        <v>2</v>
      </c>
      <c r="B20" s="45" t="s">
        <v>42</v>
      </c>
      <c r="C20" s="46" t="s">
        <v>68</v>
      </c>
      <c r="E20" s="44" t="s">
        <v>2</v>
      </c>
      <c r="F20" s="45" t="s">
        <v>3</v>
      </c>
      <c r="G20" s="41" t="s">
        <v>58</v>
      </c>
      <c r="H20" s="18" t="s">
        <v>59</v>
      </c>
      <c r="I20" s="18"/>
      <c r="J20" s="18" t="s">
        <v>60</v>
      </c>
      <c r="K20" s="18" t="s">
        <v>61</v>
      </c>
      <c r="L20" s="18" t="s">
        <v>62</v>
      </c>
      <c r="M20" s="18" t="s">
        <v>63</v>
      </c>
    </row>
    <row r="21" customFormat="false" ht="15.75" hidden="false" customHeight="false" outlineLevel="0" collapsed="false">
      <c r="A21" s="53" t="s">
        <v>24</v>
      </c>
      <c r="B21" s="54" t="s">
        <v>71</v>
      </c>
      <c r="C21" s="43" t="n">
        <v>22.4118721461187</v>
      </c>
      <c r="E21" s="55"/>
      <c r="F21" s="56"/>
      <c r="G21" s="57"/>
      <c r="H21" s="25" t="s">
        <v>69</v>
      </c>
      <c r="I21" s="26" t="s">
        <v>70</v>
      </c>
      <c r="J21" s="58"/>
      <c r="K21" s="58"/>
      <c r="L21" s="58"/>
      <c r="M21" s="59"/>
    </row>
    <row r="22" customFormat="false" ht="15" hidden="false" customHeight="false" outlineLevel="0" collapsed="false">
      <c r="A22" s="31"/>
      <c r="B22" s="32" t="s">
        <v>72</v>
      </c>
      <c r="C22" s="29" t="n">
        <v>12.1068493150685</v>
      </c>
      <c r="E22" s="42" t="s">
        <v>24</v>
      </c>
      <c r="F22" s="20" t="s">
        <v>19</v>
      </c>
      <c r="G22" s="34" t="n">
        <f aca="false">1/(C$21)</f>
        <v>0.0446192086712033</v>
      </c>
      <c r="H22" s="34" t="e">
        <f aca="false">#REF!*G22</f>
        <v>#REF!</v>
      </c>
      <c r="I22" s="34" t="e">
        <f aca="false">SUM(H22:H23)</f>
        <v>#REF!</v>
      </c>
      <c r="J22" s="34" t="e">
        <f aca="false">IF(F22="Critical",(I22*G22)/(1-H22),IF(F22="Normal",(I22*G22)/((1-H21)*(1-I22))))</f>
        <v>#REF!</v>
      </c>
      <c r="K22" s="34" t="e">
        <f aca="false">J22+G22</f>
        <v>#REF!</v>
      </c>
      <c r="L22" s="34" t="e">
        <f aca="false">J22*#REF!</f>
        <v>#REF!</v>
      </c>
      <c r="M22" s="34" t="e">
        <f aca="false">K22*#REF!</f>
        <v>#REF!</v>
      </c>
    </row>
    <row r="23" customFormat="false" ht="15" hidden="false" customHeight="false" outlineLevel="0" collapsed="false">
      <c r="A23" s="31"/>
      <c r="B23" s="32" t="s">
        <v>73</v>
      </c>
      <c r="C23" s="29" t="n">
        <v>10.3050228310502</v>
      </c>
      <c r="E23" s="35"/>
      <c r="F23" s="28" t="s">
        <v>21</v>
      </c>
      <c r="G23" s="33" t="n">
        <f aca="false">G22</f>
        <v>0.0446192086712033</v>
      </c>
      <c r="H23" s="34" t="e">
        <f aca="false">#REF!*G23</f>
        <v>#REF!</v>
      </c>
      <c r="I23" s="34" t="e">
        <f aca="false">I22</f>
        <v>#REF!</v>
      </c>
      <c r="J23" s="34" t="e">
        <f aca="false">IF(F23="Critical",(I23*G23)/(1-H23),IF(F23="Normal",(I23*G23)/((1-H22)*(1-I23))))</f>
        <v>#REF!</v>
      </c>
      <c r="K23" s="34" t="e">
        <f aca="false">J23+G23</f>
        <v>#REF!</v>
      </c>
      <c r="L23" s="34" t="e">
        <f aca="false">J23*#REF!</f>
        <v>#REF!</v>
      </c>
      <c r="M23" s="34" t="e">
        <f aca="false">K23*#REF!</f>
        <v>#REF!</v>
      </c>
    </row>
    <row r="24" customFormat="false" ht="15" hidden="false" customHeight="false" outlineLevel="0" collapsed="false">
      <c r="A24" s="31" t="s">
        <v>25</v>
      </c>
      <c r="B24" s="32" t="s">
        <v>71</v>
      </c>
      <c r="C24" s="29" t="n">
        <v>13.9383561643836</v>
      </c>
      <c r="E24" s="27" t="s">
        <v>25</v>
      </c>
      <c r="F24" s="28" t="s">
        <v>19</v>
      </c>
      <c r="G24" s="33" t="n">
        <f aca="false">1/(C24)</f>
        <v>0.0717444717444717</v>
      </c>
      <c r="H24" s="34" t="e">
        <f aca="false">#REF!*G24</f>
        <v>#REF!</v>
      </c>
      <c r="I24" s="34" t="e">
        <f aca="false">SUM(H24:H25)</f>
        <v>#REF!</v>
      </c>
      <c r="J24" s="34" t="e">
        <f aca="false">IF(F24="Critical",(I24*G24)/(1-H24),IF(F24="Normal",(I24*G24)/((1-H23)*(1-I24))))</f>
        <v>#REF!</v>
      </c>
      <c r="K24" s="34" t="e">
        <f aca="false">J24+G24</f>
        <v>#REF!</v>
      </c>
      <c r="L24" s="34" t="e">
        <f aca="false">J24*#REF!</f>
        <v>#REF!</v>
      </c>
      <c r="M24" s="34" t="e">
        <f aca="false">K24*#REF!</f>
        <v>#REF!</v>
      </c>
    </row>
    <row r="25" customFormat="false" ht="15" hidden="false" customHeight="false" outlineLevel="0" collapsed="false">
      <c r="A25" s="31"/>
      <c r="B25" s="32" t="s">
        <v>72</v>
      </c>
      <c r="C25" s="29" t="n">
        <v>9.3986301369863</v>
      </c>
      <c r="E25" s="35"/>
      <c r="F25" s="28" t="s">
        <v>21</v>
      </c>
      <c r="G25" s="33" t="n">
        <f aca="false">G24</f>
        <v>0.0717444717444717</v>
      </c>
      <c r="H25" s="34" t="e">
        <f aca="false">#REF!*G25</f>
        <v>#REF!</v>
      </c>
      <c r="I25" s="34" t="e">
        <f aca="false">I24</f>
        <v>#REF!</v>
      </c>
      <c r="J25" s="34" t="e">
        <f aca="false">IF(F25="Critical",(I25*G25)/(1-H25),IF(F25="Normal",(I25*G25)/((1-H24)*(1-I25))))</f>
        <v>#REF!</v>
      </c>
      <c r="K25" s="34" t="e">
        <f aca="false">J25+G25</f>
        <v>#REF!</v>
      </c>
      <c r="L25" s="34" t="e">
        <f aca="false">J25*#REF!</f>
        <v>#REF!</v>
      </c>
      <c r="M25" s="34" t="e">
        <f aca="false">K25*#REF!</f>
        <v>#REF!</v>
      </c>
    </row>
    <row r="26" customFormat="false" ht="15" hidden="false" customHeight="false" outlineLevel="0" collapsed="false">
      <c r="A26" s="31"/>
      <c r="B26" s="32" t="s">
        <v>73</v>
      </c>
      <c r="C26" s="29" t="n">
        <v>4.53972602739726</v>
      </c>
      <c r="E26" s="27" t="s">
        <v>26</v>
      </c>
      <c r="F26" s="28" t="s">
        <v>19</v>
      </c>
      <c r="G26" s="33" t="n">
        <f aca="false">1/(C27)</f>
        <v>0.231256599788807</v>
      </c>
      <c r="H26" s="34" t="e">
        <f aca="false">#REF!*G26</f>
        <v>#REF!</v>
      </c>
      <c r="I26" s="33" t="e">
        <f aca="false">SUM(H26:H27)</f>
        <v>#REF!</v>
      </c>
      <c r="J26" s="34" t="e">
        <f aca="false">IF(F26="Critical",(I26*G26)/(1-H26),IF(F26="Normal",(I26*G26)/((1-H25)*(1-I26))))</f>
        <v>#REF!</v>
      </c>
      <c r="K26" s="34" t="e">
        <f aca="false">J26+G26</f>
        <v>#REF!</v>
      </c>
      <c r="L26" s="34" t="e">
        <f aca="false">J26*#REF!</f>
        <v>#REF!</v>
      </c>
      <c r="M26" s="34" t="e">
        <f aca="false">K26*#REF!</f>
        <v>#REF!</v>
      </c>
    </row>
    <row r="27" customFormat="false" ht="15" hidden="false" customHeight="false" outlineLevel="0" collapsed="false">
      <c r="A27" s="31" t="s">
        <v>26</v>
      </c>
      <c r="B27" s="32" t="s">
        <v>71</v>
      </c>
      <c r="C27" s="29" t="n">
        <v>4.32420091324201</v>
      </c>
      <c r="E27" s="35"/>
      <c r="F27" s="28" t="s">
        <v>21</v>
      </c>
      <c r="G27" s="33" t="n">
        <f aca="false">G26</f>
        <v>0.231256599788807</v>
      </c>
      <c r="H27" s="34" t="e">
        <f aca="false">#REF!*G27</f>
        <v>#REF!</v>
      </c>
      <c r="I27" s="33" t="e">
        <f aca="false">I26</f>
        <v>#REF!</v>
      </c>
      <c r="J27" s="34" t="e">
        <f aca="false">IF(F27="Critical",(I27*G27)/(1-H27),IF(F27="Normal",(I27*G27)/((1-H26)*(1-I27))))</f>
        <v>#REF!</v>
      </c>
      <c r="K27" s="34" t="e">
        <f aca="false">J27+G27</f>
        <v>#REF!</v>
      </c>
      <c r="L27" s="34" t="e">
        <f aca="false">J27*#REF!</f>
        <v>#REF!</v>
      </c>
      <c r="M27" s="34" t="e">
        <f aca="false">K27*#REF!</f>
        <v>#REF!</v>
      </c>
    </row>
    <row r="28" customFormat="false" ht="15" hidden="false" customHeight="false" outlineLevel="0" collapsed="false">
      <c r="A28" s="31"/>
      <c r="B28" s="32" t="s">
        <v>72</v>
      </c>
      <c r="C28" s="29" t="n">
        <v>2.98767123287671</v>
      </c>
      <c r="E28" s="27" t="s">
        <v>27</v>
      </c>
      <c r="F28" s="28" t="s">
        <v>19</v>
      </c>
      <c r="G28" s="33" t="n">
        <f aca="false">1/(C30)</f>
        <v>0.917085427135678</v>
      </c>
      <c r="H28" s="34" t="e">
        <f aca="false">#REF!*G28</f>
        <v>#REF!</v>
      </c>
      <c r="I28" s="33" t="e">
        <f aca="false">SUM(H28:H29)</f>
        <v>#REF!</v>
      </c>
      <c r="J28" s="34" t="e">
        <f aca="false">IF(F28="Critical",(I28*G28)/(1-H28),IF(F28="Normal",(I28*G28)/((1-H27)*(1-I28))))</f>
        <v>#REF!</v>
      </c>
      <c r="K28" s="34" t="e">
        <f aca="false">J28+G28</f>
        <v>#REF!</v>
      </c>
      <c r="L28" s="34" t="e">
        <f aca="false">J28*#REF!</f>
        <v>#REF!</v>
      </c>
      <c r="M28" s="34" t="e">
        <f aca="false">K28*#REF!</f>
        <v>#REF!</v>
      </c>
    </row>
    <row r="29" customFormat="false" ht="15" hidden="false" customHeight="false" outlineLevel="0" collapsed="false">
      <c r="A29" s="31"/>
      <c r="B29" s="32" t="s">
        <v>73</v>
      </c>
      <c r="C29" s="29" t="n">
        <v>1.3365296803653</v>
      </c>
      <c r="D29" s="36"/>
      <c r="E29" s="35"/>
      <c r="F29" s="28" t="s">
        <v>21</v>
      </c>
      <c r="G29" s="33" t="n">
        <f aca="false">G28</f>
        <v>0.917085427135678</v>
      </c>
      <c r="H29" s="34" t="e">
        <f aca="false">#REF!*G29</f>
        <v>#REF!</v>
      </c>
      <c r="I29" s="33" t="e">
        <f aca="false">I28</f>
        <v>#REF!</v>
      </c>
      <c r="J29" s="34" t="e">
        <f aca="false">IF(F29="Critical",(I29*G29)/(1-H29),IF(F29="Normal",(I29*G29)/((1-H28)*(1-I29))))</f>
        <v>#REF!</v>
      </c>
      <c r="K29" s="34" t="e">
        <f aca="false">J29+G29</f>
        <v>#REF!</v>
      </c>
      <c r="L29" s="34" t="e">
        <f aca="false">J29*#REF!</f>
        <v>#REF!</v>
      </c>
      <c r="M29" s="34" t="e">
        <f aca="false">K29*#REF!</f>
        <v>#REF!</v>
      </c>
    </row>
    <row r="30" customFormat="false" ht="15" hidden="false" customHeight="false" outlineLevel="0" collapsed="false">
      <c r="A30" s="31" t="s">
        <v>27</v>
      </c>
      <c r="B30" s="32" t="s">
        <v>71</v>
      </c>
      <c r="C30" s="29" t="n">
        <v>1.09041095890411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customFormat="false" ht="15" hidden="false" customHeight="false" outlineLevel="0" collapsed="false">
      <c r="A31" s="31"/>
      <c r="B31" s="32" t="s">
        <v>72</v>
      </c>
      <c r="C31" s="29" t="n">
        <v>0.871689497716895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customFormat="false" ht="15" hidden="false" customHeight="false" outlineLevel="0" collapsed="false">
      <c r="A32" s="31"/>
      <c r="B32" s="32" t="s">
        <v>73</v>
      </c>
      <c r="C32" s="29" t="n">
        <v>0.218721461187215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33" customFormat="false" ht="15" hidden="false" customHeight="false" outlineLevel="0" collapsed="false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</row>
    <row r="34" customFormat="false" ht="15" hidden="false" customHeight="false" outlineLevel="0" collapsed="false">
      <c r="D34" s="36"/>
      <c r="E34" s="36"/>
      <c r="F34" s="36"/>
      <c r="G34" s="36"/>
      <c r="H34" s="36"/>
      <c r="I34" s="36"/>
      <c r="J34" s="36"/>
      <c r="K34" s="36"/>
      <c r="L34" s="36"/>
      <c r="M34" s="36"/>
    </row>
    <row r="35" customFormat="false" ht="15" hidden="false" customHeight="false" outlineLevel="0" collapsed="false">
      <c r="E35" s="48"/>
      <c r="F35" s="36"/>
    </row>
  </sheetData>
  <mergeCells count="5">
    <mergeCell ref="A1:H1"/>
    <mergeCell ref="A8:F8"/>
    <mergeCell ref="A19:C19"/>
    <mergeCell ref="E19:M19"/>
    <mergeCell ref="H20:I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5"/>
  <sheetViews>
    <sheetView showFormulas="false" showGridLines="true" showRowColHeaders="true" showZeros="true" rightToLeft="false" tabSelected="true" showOutlineSymbols="true" defaultGridColor="true" view="normal" topLeftCell="D61" colorId="64" zoomScale="100" zoomScaleNormal="100" zoomScalePageLayoutView="100" workbookViewId="0">
      <selection pane="topLeft" activeCell="E38" activeCellId="0" sqref="E38"/>
    </sheetView>
  </sheetViews>
  <sheetFormatPr defaultColWidth="8.7421875" defaultRowHeight="13.8" zeroHeight="false" outlineLevelRow="0" outlineLevelCol="0"/>
  <cols>
    <col collapsed="false" customWidth="true" hidden="false" outlineLevel="0" max="2" min="2" style="0" width="18.12"/>
    <col collapsed="false" customWidth="true" hidden="false" outlineLevel="0" max="5" min="5" style="0" width="12.71"/>
  </cols>
  <sheetData>
    <row r="1" customFormat="false" ht="13.8" hidden="false" customHeight="false" outlineLevel="0" collapsed="false">
      <c r="A1" s="1" t="s">
        <v>83</v>
      </c>
      <c r="B1" s="1"/>
      <c r="C1" s="1"/>
      <c r="D1" s="1"/>
      <c r="E1" s="1"/>
      <c r="F1" s="7"/>
      <c r="G1" s="1" t="s">
        <v>84</v>
      </c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60" t="s">
        <v>85</v>
      </c>
      <c r="B2" s="60" t="s">
        <v>86</v>
      </c>
      <c r="C2" s="60"/>
      <c r="D2" s="7" t="s">
        <v>87</v>
      </c>
      <c r="E2" s="7" t="s">
        <v>88</v>
      </c>
      <c r="F2" s="7"/>
      <c r="G2" s="7" t="s">
        <v>85</v>
      </c>
      <c r="H2" s="60" t="s">
        <v>86</v>
      </c>
      <c r="I2" s="60"/>
      <c r="J2" s="60"/>
      <c r="K2" s="7" t="s">
        <v>89</v>
      </c>
      <c r="L2" s="7" t="s">
        <v>90</v>
      </c>
      <c r="M2" s="7" t="s">
        <v>88</v>
      </c>
    </row>
    <row r="3" customFormat="false" ht="13.8" hidden="false" customHeight="false" outlineLevel="0" collapsed="false">
      <c r="A3" s="0" t="s">
        <v>24</v>
      </c>
      <c r="B3" s="61" t="s">
        <v>91</v>
      </c>
      <c r="C3" s="61"/>
      <c r="D3" s="0" t="n">
        <f aca="false">Dati_OPTN!C30/(Dati_OPTN!C7+Dati_OPTN!Q53)</f>
        <v>0.0813413785100951</v>
      </c>
      <c r="E3" s="0" t="n">
        <f aca="false">D3+0.02</f>
        <v>0.101341378510095</v>
      </c>
      <c r="G3" s="0" t="s">
        <v>24</v>
      </c>
      <c r="H3" s="61" t="s">
        <v>92</v>
      </c>
      <c r="I3" s="61"/>
      <c r="J3" s="61"/>
      <c r="K3" s="0" t="n">
        <f aca="false">Dati_OPTN!Q53/(Dati_OPTN!C30+Dati_OPTN!C7)</f>
        <v>0.256889808029492</v>
      </c>
      <c r="L3" s="0" t="n">
        <v>0.49</v>
      </c>
      <c r="M3" s="0" t="n">
        <f aca="false">K3+L3</f>
        <v>0.746889808029492</v>
      </c>
    </row>
    <row r="4" customFormat="false" ht="13.8" hidden="false" customHeight="false" outlineLevel="0" collapsed="false">
      <c r="A4" s="0" t="s">
        <v>25</v>
      </c>
      <c r="B4" s="61" t="s">
        <v>91</v>
      </c>
      <c r="C4" s="61"/>
      <c r="D4" s="0" t="n">
        <f aca="false">Dati_OPTN!C34/(Dati_OPTN!C11+Dati_OPTN!Q57)</f>
        <v>0.0632780712941034</v>
      </c>
      <c r="E4" s="0" t="n">
        <f aca="false">D4+0.02</f>
        <v>0.0832780712941034</v>
      </c>
      <c r="G4" s="0" t="s">
        <v>25</v>
      </c>
      <c r="H4" s="61" t="s">
        <v>92</v>
      </c>
      <c r="I4" s="61"/>
      <c r="J4" s="61"/>
      <c r="K4" s="0" t="n">
        <f aca="false">Dati_OPTN!Q57/(Dati_OPTN!C34+Dati_OPTN!C11)</f>
        <v>0.2201393728223</v>
      </c>
      <c r="L4" s="0" t="n">
        <v>0.57</v>
      </c>
      <c r="M4" s="0" t="n">
        <f aca="false">K4+L4</f>
        <v>0.7901393728223</v>
      </c>
    </row>
    <row r="5" customFormat="false" ht="13.8" hidden="false" customHeight="false" outlineLevel="0" collapsed="false">
      <c r="A5" s="0" t="s">
        <v>26</v>
      </c>
      <c r="B5" s="61" t="s">
        <v>91</v>
      </c>
      <c r="C5" s="61"/>
      <c r="D5" s="0" t="n">
        <f aca="false">Dati_OPTN!C38/(Dati_OPTN!C15+Dati_OPTN!Q61)</f>
        <v>0.0800711743772242</v>
      </c>
      <c r="E5" s="0" t="n">
        <f aca="false">D5+0.02</f>
        <v>0.100071174377224</v>
      </c>
      <c r="G5" s="0" t="s">
        <v>26</v>
      </c>
      <c r="H5" s="61" t="s">
        <v>92</v>
      </c>
      <c r="I5" s="61"/>
      <c r="J5" s="61"/>
      <c r="K5" s="0" t="n">
        <f aca="false">Dati_OPTN!Q61/(Dati_OPTN!C38+Dati_OPTN!C15)</f>
        <v>0.26703444162815</v>
      </c>
      <c r="L5" s="0" t="n">
        <v>0.55</v>
      </c>
      <c r="M5" s="0" t="n">
        <f aca="false">K5+L5</f>
        <v>0.81703444162815</v>
      </c>
    </row>
    <row r="6" customFormat="false" ht="13.8" hidden="false" customHeight="false" outlineLevel="0" collapsed="false">
      <c r="A6" s="0" t="s">
        <v>27</v>
      </c>
      <c r="B6" s="61" t="s">
        <v>91</v>
      </c>
      <c r="C6" s="61"/>
      <c r="D6" s="0" t="n">
        <f aca="false">Dati_OPTN!C42/(Dati_OPTN!C19+Dati_OPTN!Q65)</f>
        <v>0.0519199567333694</v>
      </c>
      <c r="E6" s="0" t="n">
        <f aca="false">D6+0.02</f>
        <v>0.0719199567333694</v>
      </c>
      <c r="G6" s="0" t="s">
        <v>27</v>
      </c>
      <c r="H6" s="61" t="s">
        <v>92</v>
      </c>
      <c r="I6" s="61"/>
      <c r="J6" s="61"/>
      <c r="K6" s="0" t="n">
        <f aca="false">Dati_OPTN!Q65/(Dati_OPTN!C42+Dati_OPTN!C19)</f>
        <v>0.163277511961722</v>
      </c>
      <c r="L6" s="0" t="n">
        <v>0.7</v>
      </c>
      <c r="M6" s="0" t="n">
        <f aca="false">K6+L6</f>
        <v>0.863277511961722</v>
      </c>
    </row>
    <row r="7" customFormat="false" ht="13.8" hidden="false" customHeight="false" outlineLevel="0" collapsed="false">
      <c r="C7" s="7"/>
    </row>
    <row r="9" customFormat="false" ht="13.8" hidden="false" customHeight="false" outlineLevel="0" collapsed="false">
      <c r="A9" s="62" t="s">
        <v>93</v>
      </c>
      <c r="B9" s="62"/>
      <c r="C9" s="62"/>
      <c r="D9" s="62"/>
      <c r="E9" s="62"/>
      <c r="F9" s="62"/>
      <c r="G9" s="62"/>
      <c r="I9" s="62" t="s">
        <v>94</v>
      </c>
      <c r="J9" s="62"/>
      <c r="K9" s="62"/>
      <c r="L9" s="62"/>
      <c r="M9" s="62"/>
      <c r="N9" s="62"/>
      <c r="O9" s="62"/>
      <c r="P9" s="62"/>
    </row>
    <row r="10" customFormat="false" ht="13.8" hidden="false" customHeight="false" outlineLevel="0" collapsed="false">
      <c r="A10" s="0" t="s">
        <v>24</v>
      </c>
      <c r="B10" s="0" t="s">
        <v>95</v>
      </c>
      <c r="C10" s="61" t="s">
        <v>96</v>
      </c>
      <c r="D10" s="61"/>
      <c r="E10" s="61"/>
      <c r="F10" s="61"/>
      <c r="G10" s="0" t="n">
        <f aca="false">Dati_OPTN!C8/365*(1-M3-E3)</f>
        <v>0.00790029439930917</v>
      </c>
      <c r="I10" s="0" t="s">
        <v>24</v>
      </c>
      <c r="J10" s="63" t="s">
        <v>95</v>
      </c>
      <c r="K10" s="63"/>
      <c r="L10" s="61" t="s">
        <v>97</v>
      </c>
      <c r="M10" s="61"/>
      <c r="N10" s="61"/>
      <c r="O10" s="61"/>
      <c r="P10" s="0" t="n">
        <f aca="false">G10</f>
        <v>0.00790029439930917</v>
      </c>
    </row>
    <row r="11" customFormat="false" ht="13.8" hidden="false" customHeight="false" outlineLevel="0" collapsed="false">
      <c r="B11" s="0" t="s">
        <v>98</v>
      </c>
      <c r="C11" s="61" t="s">
        <v>99</v>
      </c>
      <c r="D11" s="61"/>
      <c r="E11" s="61"/>
      <c r="F11" s="61"/>
      <c r="G11" s="0" t="n">
        <f aca="false">Dati_OPTN!C9/365*(1-M3-E3)</f>
        <v>6.39591202369335</v>
      </c>
      <c r="J11" s="63" t="s">
        <v>98</v>
      </c>
      <c r="K11" s="63"/>
      <c r="L11" s="61" t="s">
        <v>100</v>
      </c>
      <c r="M11" s="61"/>
      <c r="N11" s="61"/>
      <c r="O11" s="61"/>
      <c r="P11" s="0" t="n">
        <f aca="false">G11+G19</f>
        <v>8.44874115260858</v>
      </c>
    </row>
    <row r="12" customFormat="false" ht="13.8" hidden="false" customHeight="false" outlineLevel="0" collapsed="false">
      <c r="A12" s="0" t="s">
        <v>25</v>
      </c>
      <c r="B12" s="0" t="s">
        <v>95</v>
      </c>
      <c r="C12" s="61" t="s">
        <v>101</v>
      </c>
      <c r="D12" s="61"/>
      <c r="E12" s="61"/>
      <c r="F12" s="61"/>
      <c r="G12" s="0" t="n">
        <f aca="false">Dati_OPTN!C12/365*(1-M4-E4)</f>
        <v>0.00346801522968758</v>
      </c>
      <c r="I12" s="0" t="s">
        <v>25</v>
      </c>
      <c r="J12" s="63" t="s">
        <v>95</v>
      </c>
      <c r="K12" s="63"/>
      <c r="L12" s="61" t="s">
        <v>102</v>
      </c>
      <c r="M12" s="61"/>
      <c r="N12" s="61"/>
      <c r="O12" s="61"/>
      <c r="P12" s="0" t="n">
        <f aca="false">G12</f>
        <v>0.00346801522968758</v>
      </c>
    </row>
    <row r="13" customFormat="false" ht="13.8" hidden="false" customHeight="false" outlineLevel="0" collapsed="false">
      <c r="B13" s="0" t="s">
        <v>98</v>
      </c>
      <c r="C13" s="61" t="s">
        <v>103</v>
      </c>
      <c r="D13" s="61"/>
      <c r="E13" s="61"/>
      <c r="F13" s="61"/>
      <c r="G13" s="0" t="n">
        <f aca="false">Dati_OPTN!C13/365*(1-M4-E4)</f>
        <v>3.43853710023523</v>
      </c>
      <c r="J13" s="63" t="s">
        <v>98</v>
      </c>
      <c r="K13" s="63"/>
      <c r="L13" s="61" t="s">
        <v>104</v>
      </c>
      <c r="M13" s="61"/>
      <c r="N13" s="61"/>
      <c r="O13" s="61"/>
      <c r="P13" s="0" t="n">
        <f aca="false">G13+G20</f>
        <v>4.66239967479198</v>
      </c>
    </row>
    <row r="14" customFormat="false" ht="13.8" hidden="false" customHeight="false" outlineLevel="0" collapsed="false">
      <c r="A14" s="0" t="s">
        <v>26</v>
      </c>
      <c r="B14" s="0" t="s">
        <v>95</v>
      </c>
      <c r="C14" s="61" t="s">
        <v>105</v>
      </c>
      <c r="D14" s="61"/>
      <c r="E14" s="61"/>
      <c r="F14" s="61"/>
      <c r="G14" s="0" t="n">
        <f aca="false">Dati_OPTN!C16/365*(1-M5-E5)</f>
        <v>0.00227107901355139</v>
      </c>
      <c r="I14" s="0" t="s">
        <v>26</v>
      </c>
      <c r="J14" s="63" t="s">
        <v>95</v>
      </c>
      <c r="K14" s="63"/>
      <c r="L14" s="61" t="s">
        <v>106</v>
      </c>
      <c r="M14" s="61"/>
      <c r="N14" s="61"/>
      <c r="O14" s="61"/>
      <c r="P14" s="0" t="n">
        <f aca="false">G14</f>
        <v>0.00227107901355139</v>
      </c>
    </row>
    <row r="15" customFormat="false" ht="13.8" hidden="false" customHeight="false" outlineLevel="0" collapsed="false">
      <c r="B15" s="0" t="s">
        <v>98</v>
      </c>
      <c r="C15" s="61" t="s">
        <v>107</v>
      </c>
      <c r="D15" s="61"/>
      <c r="E15" s="61"/>
      <c r="F15" s="61"/>
      <c r="G15" s="0" t="n">
        <f aca="false">Dati_OPTN!C17/365*(1-M5-E5)</f>
        <v>1.06490894945425</v>
      </c>
      <c r="J15" s="63" t="s">
        <v>98</v>
      </c>
      <c r="K15" s="63"/>
      <c r="L15" s="61" t="s">
        <v>108</v>
      </c>
      <c r="M15" s="61"/>
      <c r="N15" s="61"/>
      <c r="O15" s="61"/>
      <c r="P15" s="0" t="n">
        <f aca="false">G15+G21</f>
        <v>1.39398829851785</v>
      </c>
    </row>
    <row r="16" customFormat="false" ht="13.8" hidden="false" customHeight="false" outlineLevel="0" collapsed="false">
      <c r="A16" s="0" t="s">
        <v>27</v>
      </c>
      <c r="B16" s="0" t="s">
        <v>109</v>
      </c>
      <c r="C16" s="61" t="s">
        <v>110</v>
      </c>
      <c r="D16" s="61"/>
      <c r="E16" s="61"/>
      <c r="F16" s="61"/>
      <c r="G16" s="0" t="n">
        <f aca="false">Dati_OPTN!C20/365*(1-M6-E6)</f>
        <v>0.000355082363314568</v>
      </c>
      <c r="I16" s="0" t="s">
        <v>27</v>
      </c>
      <c r="J16" s="63" t="s">
        <v>109</v>
      </c>
      <c r="K16" s="63"/>
      <c r="L16" s="61" t="s">
        <v>111</v>
      </c>
      <c r="M16" s="61"/>
      <c r="N16" s="61"/>
      <c r="O16" s="61"/>
      <c r="P16" s="0" t="n">
        <f aca="false">G16</f>
        <v>0.000355082363314568</v>
      </c>
    </row>
    <row r="17" customFormat="false" ht="13.8" hidden="false" customHeight="false" outlineLevel="0" collapsed="false">
      <c r="B17" s="0" t="s">
        <v>98</v>
      </c>
      <c r="C17" s="61" t="s">
        <v>112</v>
      </c>
      <c r="D17" s="61"/>
      <c r="E17" s="61"/>
      <c r="F17" s="61"/>
      <c r="G17" s="0" t="n">
        <f aca="false">Dati_OPTN!C21/365*(1-M6-E6)</f>
        <v>0.205947770722449</v>
      </c>
      <c r="J17" s="63" t="s">
        <v>98</v>
      </c>
      <c r="K17" s="63"/>
      <c r="L17" s="61" t="s">
        <v>113</v>
      </c>
      <c r="M17" s="61"/>
      <c r="N17" s="61"/>
      <c r="O17" s="61"/>
      <c r="P17" s="0" t="n">
        <f aca="false">G17+G22</f>
        <v>0.282290478835081</v>
      </c>
    </row>
    <row r="18" customFormat="false" ht="13.8" hidden="false" customHeight="false" outlineLevel="0" collapsed="false">
      <c r="A18" s="62" t="s">
        <v>114</v>
      </c>
      <c r="B18" s="62"/>
      <c r="C18" s="62"/>
      <c r="D18" s="62"/>
      <c r="E18" s="62"/>
      <c r="F18" s="62"/>
      <c r="G18" s="62"/>
      <c r="I18" s="62" t="s">
        <v>115</v>
      </c>
      <c r="J18" s="62"/>
      <c r="K18" s="62"/>
      <c r="L18" s="62"/>
      <c r="M18" s="62"/>
      <c r="N18" s="62"/>
      <c r="O18" s="62"/>
      <c r="P18" s="62"/>
      <c r="Q18" s="62"/>
      <c r="S18" s="64" t="s">
        <v>116</v>
      </c>
      <c r="T18" s="64"/>
    </row>
    <row r="19" customFormat="false" ht="13.8" hidden="false" customHeight="false" outlineLevel="0" collapsed="false">
      <c r="A19" s="0" t="s">
        <v>24</v>
      </c>
      <c r="B19" s="0" t="s">
        <v>117</v>
      </c>
      <c r="C19" s="61" t="s">
        <v>118</v>
      </c>
      <c r="D19" s="61"/>
      <c r="E19" s="61"/>
      <c r="F19" s="61"/>
      <c r="G19" s="0" t="n">
        <f aca="false">Dati_OPTN!C10/365*(1-M3-E3)</f>
        <v>2.05282912891523</v>
      </c>
      <c r="I19" s="0" t="s">
        <v>24</v>
      </c>
      <c r="J19" s="61" t="s">
        <v>119</v>
      </c>
      <c r="K19" s="61"/>
      <c r="L19" s="61"/>
      <c r="M19" s="61"/>
      <c r="N19" s="61"/>
      <c r="O19" s="61"/>
      <c r="P19" s="61"/>
      <c r="Q19" s="0" t="n">
        <f aca="false">G10+G11+G19</f>
        <v>8.45664144700789</v>
      </c>
      <c r="S19" s="0" t="s">
        <v>24</v>
      </c>
      <c r="T19" s="65" t="b">
        <f aca="false">IF(Q19&lt;=Arrivi!D29,TRUE())</f>
        <v>1</v>
      </c>
    </row>
    <row r="20" customFormat="false" ht="13.8" hidden="false" customHeight="false" outlineLevel="0" collapsed="false">
      <c r="A20" s="0" t="s">
        <v>25</v>
      </c>
      <c r="B20" s="0" t="s">
        <v>117</v>
      </c>
      <c r="C20" s="61" t="s">
        <v>120</v>
      </c>
      <c r="D20" s="61"/>
      <c r="E20" s="61"/>
      <c r="F20" s="61"/>
      <c r="G20" s="0" t="n">
        <f aca="false">Dati_OPTN!C14/365*(1-M4-E4)</f>
        <v>1.22386257455675</v>
      </c>
      <c r="I20" s="0" t="s">
        <v>25</v>
      </c>
      <c r="J20" s="61" t="s">
        <v>121</v>
      </c>
      <c r="K20" s="61"/>
      <c r="L20" s="61"/>
      <c r="M20" s="61"/>
      <c r="N20" s="61"/>
      <c r="O20" s="61"/>
      <c r="P20" s="61"/>
      <c r="Q20" s="0" t="n">
        <f aca="false">G12+G13+G20</f>
        <v>4.66586769002167</v>
      </c>
      <c r="S20" s="0" t="s">
        <v>25</v>
      </c>
      <c r="T20" s="65" t="b">
        <f aca="false">IF(Q20&lt;Arrivi!D32,TRUE())</f>
        <v>1</v>
      </c>
    </row>
    <row r="21" customFormat="false" ht="13.8" hidden="false" customHeight="false" outlineLevel="0" collapsed="false">
      <c r="A21" s="0" t="s">
        <v>26</v>
      </c>
      <c r="B21" s="0" t="s">
        <v>117</v>
      </c>
      <c r="C21" s="61" t="s">
        <v>122</v>
      </c>
      <c r="D21" s="61"/>
      <c r="E21" s="61"/>
      <c r="F21" s="61"/>
      <c r="G21" s="0" t="n">
        <f aca="false">Dati_OPTN!C18/365*(1-M5-E5)</f>
        <v>0.329079349063597</v>
      </c>
      <c r="I21" s="0" t="s">
        <v>26</v>
      </c>
      <c r="J21" s="61" t="s">
        <v>123</v>
      </c>
      <c r="K21" s="61"/>
      <c r="L21" s="61"/>
      <c r="M21" s="61"/>
      <c r="N21" s="61"/>
      <c r="O21" s="61"/>
      <c r="P21" s="61"/>
      <c r="Q21" s="0" t="n">
        <f aca="false">G14+G15+G21</f>
        <v>1.3962593775314</v>
      </c>
      <c r="S21" s="0" t="s">
        <v>26</v>
      </c>
      <c r="T21" s="65" t="b">
        <f aca="false">IF(Q21&lt;Arrivi!D35,TRUE())</f>
        <v>1</v>
      </c>
    </row>
    <row r="22" customFormat="false" ht="13.8" hidden="false" customHeight="false" outlineLevel="0" collapsed="false">
      <c r="A22" s="0" t="s">
        <v>27</v>
      </c>
      <c r="B22" s="0" t="s">
        <v>117</v>
      </c>
      <c r="C22" s="61" t="s">
        <v>124</v>
      </c>
      <c r="D22" s="61"/>
      <c r="E22" s="61"/>
      <c r="F22" s="61"/>
      <c r="G22" s="0" t="n">
        <f aca="false">Dati_OPTN!C22/365*(1-M6-E6)</f>
        <v>0.0763427081126321</v>
      </c>
      <c r="I22" s="0" t="s">
        <v>27</v>
      </c>
      <c r="J22" s="61" t="s">
        <v>125</v>
      </c>
      <c r="K22" s="61"/>
      <c r="L22" s="61"/>
      <c r="M22" s="61"/>
      <c r="N22" s="61"/>
      <c r="O22" s="61"/>
      <c r="P22" s="61"/>
      <c r="Q22" s="0" t="n">
        <f aca="false">G16+G17+G22</f>
        <v>0.282645561198396</v>
      </c>
      <c r="S22" s="0" t="s">
        <v>27</v>
      </c>
      <c r="T22" s="65" t="b">
        <f aca="false">IF(Q22&lt;Arrivi!D38,TRUE())</f>
        <v>1</v>
      </c>
    </row>
    <row r="25" customFormat="false" ht="13.8" hidden="false" customHeight="false" outlineLevel="0" collapsed="false">
      <c r="A25" s="66" t="s">
        <v>126</v>
      </c>
      <c r="B25" s="66"/>
      <c r="C25" s="66"/>
      <c r="D25" s="66"/>
      <c r="E25" s="66"/>
      <c r="F25" s="66"/>
      <c r="I25" s="66" t="s">
        <v>127</v>
      </c>
      <c r="J25" s="66"/>
      <c r="K25" s="66"/>
      <c r="L25" s="66"/>
      <c r="M25" s="66"/>
      <c r="N25" s="66"/>
      <c r="Q25" s="66" t="s">
        <v>128</v>
      </c>
      <c r="R25" s="66"/>
      <c r="S25" s="66"/>
      <c r="T25" s="66"/>
      <c r="U25" s="66"/>
      <c r="V25" s="66"/>
      <c r="Y25" s="66" t="s">
        <v>129</v>
      </c>
      <c r="Z25" s="66"/>
      <c r="AA25" s="66"/>
      <c r="AB25" s="66"/>
      <c r="AC25" s="66"/>
    </row>
    <row r="26" customFormat="false" ht="13.8" hidden="false" customHeight="false" outlineLevel="0" collapsed="false">
      <c r="A26" s="7" t="s">
        <v>85</v>
      </c>
      <c r="B26" s="60" t="s">
        <v>86</v>
      </c>
      <c r="C26" s="60"/>
      <c r="D26" s="60"/>
      <c r="E26" s="7" t="s">
        <v>89</v>
      </c>
      <c r="F26" s="7" t="s">
        <v>130</v>
      </c>
      <c r="I26" s="7" t="s">
        <v>85</v>
      </c>
      <c r="J26" s="60" t="s">
        <v>86</v>
      </c>
      <c r="K26" s="60"/>
      <c r="L26" s="60"/>
      <c r="M26" s="60"/>
      <c r="N26" s="7" t="s">
        <v>131</v>
      </c>
      <c r="Q26" s="7" t="s">
        <v>85</v>
      </c>
      <c r="R26" s="60" t="s">
        <v>86</v>
      </c>
      <c r="S26" s="60"/>
      <c r="T26" s="60"/>
      <c r="U26" s="60"/>
      <c r="V26" s="7" t="s">
        <v>132</v>
      </c>
      <c r="Y26" s="7" t="s">
        <v>85</v>
      </c>
      <c r="Z26" s="60" t="s">
        <v>86</v>
      </c>
      <c r="AA26" s="60"/>
      <c r="AB26" s="7" t="s">
        <v>58</v>
      </c>
      <c r="AC26" s="7" t="s">
        <v>133</v>
      </c>
    </row>
    <row r="27" customFormat="false" ht="13.8" hidden="false" customHeight="false" outlineLevel="0" collapsed="false">
      <c r="A27" s="0" t="s">
        <v>24</v>
      </c>
      <c r="B27" s="61" t="s">
        <v>134</v>
      </c>
      <c r="C27" s="61"/>
      <c r="D27" s="61"/>
      <c r="E27" s="0" t="n">
        <f aca="false">Arrivi!D31/Arrivi!D29</f>
        <v>0.459801964060143</v>
      </c>
      <c r="F27" s="0" t="n">
        <f aca="false">1-E27</f>
        <v>0.540198035939857</v>
      </c>
      <c r="I27" s="2" t="s">
        <v>24</v>
      </c>
      <c r="J27" s="61" t="s">
        <v>135</v>
      </c>
      <c r="K27" s="61"/>
      <c r="L27" s="61"/>
      <c r="M27" s="61"/>
      <c r="N27" s="0" t="n">
        <f aca="false">1/(2*E27*Arrivi!D31)</f>
        <v>0.10552375185677</v>
      </c>
      <c r="Q27" s="2" t="s">
        <v>24</v>
      </c>
      <c r="R27" s="61" t="s">
        <v>136</v>
      </c>
      <c r="S27" s="61"/>
      <c r="T27" s="61"/>
      <c r="U27" s="61"/>
      <c r="V27" s="0" t="n">
        <f aca="false">1/(2*F27*Arrivi!D30)</f>
        <v>0.0764514745765398</v>
      </c>
      <c r="Y27" s="0" t="s">
        <v>24</v>
      </c>
      <c r="Z27" s="61" t="s">
        <v>137</v>
      </c>
      <c r="AA27" s="61"/>
      <c r="AB27" s="0" t="n">
        <f aca="false">E27*N27+F27*V27</f>
        <v>0.0898189647696908</v>
      </c>
      <c r="AC27" s="0" t="n">
        <f aca="false">1/AB27</f>
        <v>11.1335061872974</v>
      </c>
    </row>
    <row r="28" customFormat="false" ht="13.8" hidden="false" customHeight="false" outlineLevel="0" collapsed="false">
      <c r="A28" s="0" t="s">
        <v>25</v>
      </c>
      <c r="B28" s="61" t="s">
        <v>138</v>
      </c>
      <c r="C28" s="61"/>
      <c r="D28" s="61"/>
      <c r="E28" s="0" t="n">
        <f aca="false">Arrivi!D34/Arrivi!D32</f>
        <v>0.325700245700245</v>
      </c>
      <c r="F28" s="0" t="n">
        <f aca="false">1-E28</f>
        <v>0.674299754299755</v>
      </c>
      <c r="I28" s="2" t="s">
        <v>25</v>
      </c>
      <c r="J28" s="61" t="s">
        <v>139</v>
      </c>
      <c r="K28" s="61"/>
      <c r="L28" s="61"/>
      <c r="M28" s="61"/>
      <c r="N28" s="0" t="n">
        <f aca="false">1/(2*E28*Arrivi!D34)</f>
        <v>0.338160030652134</v>
      </c>
      <c r="Q28" s="2" t="s">
        <v>25</v>
      </c>
      <c r="R28" s="61" t="s">
        <v>140</v>
      </c>
      <c r="S28" s="61"/>
      <c r="T28" s="61"/>
      <c r="U28" s="61"/>
      <c r="V28" s="0" t="n">
        <f aca="false">1/(2*F28*Arrivi!D33)</f>
        <v>0.0788955383028955</v>
      </c>
      <c r="Y28" s="0" t="s">
        <v>25</v>
      </c>
      <c r="Z28" s="61" t="s">
        <v>137</v>
      </c>
      <c r="AA28" s="61"/>
      <c r="AB28" s="0" t="n">
        <f aca="false">E28*N28+F28*V28</f>
        <v>0.163338047162392</v>
      </c>
      <c r="AC28" s="0" t="n">
        <f aca="false">1/AB28</f>
        <v>6.12227228972435</v>
      </c>
    </row>
    <row r="29" customFormat="false" ht="13.8" hidden="false" customHeight="false" outlineLevel="0" collapsed="false">
      <c r="A29" s="0" t="s">
        <v>26</v>
      </c>
      <c r="B29" s="61" t="s">
        <v>141</v>
      </c>
      <c r="C29" s="61"/>
      <c r="D29" s="61"/>
      <c r="E29" s="0" t="n">
        <f aca="false">Arrivi!D37/Arrivi!D35</f>
        <v>0.3090813093981</v>
      </c>
      <c r="F29" s="0" t="n">
        <f aca="false">1-E29</f>
        <v>0.6909186906019</v>
      </c>
      <c r="I29" s="2" t="s">
        <v>26</v>
      </c>
      <c r="J29" s="61" t="s">
        <v>142</v>
      </c>
      <c r="K29" s="61"/>
      <c r="L29" s="61"/>
      <c r="M29" s="61"/>
      <c r="N29" s="0" t="n">
        <f aca="false">1/(2*E29*Arrivi!D37)</f>
        <v>1.21037140046798</v>
      </c>
      <c r="Q29" s="2" t="s">
        <v>26</v>
      </c>
      <c r="R29" s="61" t="s">
        <v>143</v>
      </c>
      <c r="S29" s="61"/>
      <c r="T29" s="61"/>
      <c r="U29" s="61"/>
      <c r="V29" s="0" t="n">
        <f aca="false">1/(2*F29*Arrivi!D36)</f>
        <v>0.242220143777107</v>
      </c>
      <c r="Y29" s="0" t="s">
        <v>26</v>
      </c>
      <c r="Z29" s="61" t="s">
        <v>137</v>
      </c>
      <c r="AA29" s="61"/>
      <c r="AB29" s="0" t="n">
        <f aca="false">E29*N29+F29*V29</f>
        <v>0.541457601890538</v>
      </c>
      <c r="AC29" s="0" t="n">
        <f aca="false">1/AB29</f>
        <v>1.84686667341714</v>
      </c>
    </row>
    <row r="30" customFormat="false" ht="13.8" hidden="false" customHeight="false" outlineLevel="0" collapsed="false">
      <c r="A30" s="0" t="s">
        <v>27</v>
      </c>
      <c r="B30" s="61" t="s">
        <v>144</v>
      </c>
      <c r="C30" s="61"/>
      <c r="D30" s="61"/>
      <c r="E30" s="0" t="n">
        <f aca="false">Arrivi!D40/Arrivi!D38</f>
        <v>0.200586264656617</v>
      </c>
      <c r="F30" s="0" t="n">
        <f aca="false">1-E30</f>
        <v>0.799413735343383</v>
      </c>
      <c r="I30" s="0" t="s">
        <v>27</v>
      </c>
      <c r="J30" s="61" t="s">
        <v>145</v>
      </c>
      <c r="K30" s="61"/>
      <c r="L30" s="61"/>
      <c r="M30" s="61"/>
      <c r="N30" s="0" t="n">
        <f aca="false">1/(2*E30*Arrivi!D40)</f>
        <v>11.3966553493055</v>
      </c>
      <c r="Q30" s="0" t="s">
        <v>27</v>
      </c>
      <c r="R30" s="61" t="s">
        <v>146</v>
      </c>
      <c r="S30" s="61"/>
      <c r="T30" s="61"/>
      <c r="U30" s="61"/>
      <c r="V30" s="0" t="n">
        <f aca="false">1/(2*F30*Arrivi!D39)</f>
        <v>0.717524252383392</v>
      </c>
      <c r="Y30" s="0" t="s">
        <v>27</v>
      </c>
      <c r="Z30" s="61" t="s">
        <v>137</v>
      </c>
      <c r="AA30" s="61"/>
      <c r="AB30" s="0" t="n">
        <f aca="false">E30*N30+F30*V30</f>
        <v>2.85961126889331</v>
      </c>
      <c r="AC30" s="0" t="n">
        <f aca="false">1/AB30</f>
        <v>0.349697880574869</v>
      </c>
    </row>
    <row r="33" customFormat="false" ht="13.8" hidden="false" customHeight="false" outlineLevel="0" collapsed="false">
      <c r="A33" s="67" t="s">
        <v>147</v>
      </c>
      <c r="B33" s="67"/>
      <c r="C33" s="67"/>
      <c r="D33" s="67"/>
      <c r="F33" s="68" t="s">
        <v>148</v>
      </c>
      <c r="G33" s="68"/>
      <c r="H33" s="68"/>
      <c r="I33" s="68"/>
    </row>
    <row r="34" customFormat="false" ht="13.8" hidden="false" customHeight="false" outlineLevel="0" collapsed="false">
      <c r="A34" s="0" t="s">
        <v>24</v>
      </c>
      <c r="B34" s="69" t="s">
        <v>149</v>
      </c>
      <c r="C34" s="69"/>
      <c r="D34" s="0" t="n">
        <f aca="false">Q19*AB27</f>
        <v>0.759566780198709</v>
      </c>
      <c r="F34" s="0" t="s">
        <v>24</v>
      </c>
      <c r="G34" s="61" t="s">
        <v>150</v>
      </c>
      <c r="H34" s="61"/>
      <c r="I34" s="0" t="n">
        <f aca="false">1/(2*E27*F27)-1</f>
        <v>1.01301115471505</v>
      </c>
    </row>
    <row r="35" customFormat="false" ht="13.8" hidden="false" customHeight="false" outlineLevel="0" collapsed="false">
      <c r="A35" s="0" t="s">
        <v>25</v>
      </c>
      <c r="B35" s="69" t="s">
        <v>151</v>
      </c>
      <c r="C35" s="69"/>
      <c r="D35" s="0" t="n">
        <f aca="false">Q20*AB28</f>
        <v>0.76211371680624</v>
      </c>
      <c r="F35" s="0" t="s">
        <v>25</v>
      </c>
      <c r="G35" s="61" t="s">
        <v>150</v>
      </c>
      <c r="H35" s="61"/>
      <c r="I35" s="0" t="n">
        <f aca="false">1/(2*E28*F28)-1</f>
        <v>1.2766638765443</v>
      </c>
    </row>
    <row r="36" customFormat="false" ht="13.8" hidden="false" customHeight="false" outlineLevel="0" collapsed="false">
      <c r="A36" s="0" t="s">
        <v>26</v>
      </c>
      <c r="B36" s="69" t="s">
        <v>152</v>
      </c>
      <c r="C36" s="69"/>
      <c r="D36" s="0" t="n">
        <f aca="false">Q21*AB29</f>
        <v>0.756015254175326</v>
      </c>
      <c r="F36" s="0" t="s">
        <v>26</v>
      </c>
      <c r="G36" s="61" t="s">
        <v>150</v>
      </c>
      <c r="H36" s="61"/>
      <c r="I36" s="0" t="n">
        <f aca="false">1/(2*E29*F29)-1</f>
        <v>1.3413714565769</v>
      </c>
    </row>
    <row r="37" customFormat="false" ht="13.8" hidden="false" customHeight="false" outlineLevel="0" collapsed="false">
      <c r="A37" s="0" t="s">
        <v>27</v>
      </c>
      <c r="B37" s="69" t="s">
        <v>153</v>
      </c>
      <c r="C37" s="69"/>
      <c r="D37" s="0" t="n">
        <f aca="false">Q22*AB30</f>
        <v>0.808256431905605</v>
      </c>
      <c r="F37" s="0" t="s">
        <v>27</v>
      </c>
      <c r="G37" s="61" t="s">
        <v>150</v>
      </c>
      <c r="H37" s="61"/>
      <c r="I37" s="0" t="n">
        <f aca="false">1/(2*E30*F30)-1</f>
        <v>2.11815146580695</v>
      </c>
    </row>
    <row r="40" customFormat="false" ht="13.8" hidden="false" customHeight="false" outlineLevel="0" collapsed="false">
      <c r="A40" s="67" t="s">
        <v>154</v>
      </c>
      <c r="B40" s="67"/>
      <c r="C40" s="67"/>
      <c r="D40" s="67"/>
    </row>
    <row r="41" customFormat="false" ht="13.8" hidden="false" customHeight="false" outlineLevel="0" collapsed="false">
      <c r="A41" s="7" t="s">
        <v>85</v>
      </c>
      <c r="B41" s="7" t="s">
        <v>155</v>
      </c>
      <c r="C41" s="7" t="s">
        <v>156</v>
      </c>
      <c r="D41" s="7" t="s">
        <v>157</v>
      </c>
    </row>
    <row r="42" customFormat="false" ht="13.8" hidden="false" customHeight="false" outlineLevel="0" collapsed="false">
      <c r="A42" s="0" t="s">
        <v>24</v>
      </c>
      <c r="B42" s="0" t="s">
        <v>158</v>
      </c>
      <c r="C42" s="0" t="n">
        <f aca="false">P10/Q19</f>
        <v>0.000934211820237978</v>
      </c>
      <c r="D42" s="0" t="n">
        <f aca="false">C42*D34</f>
        <v>0.000709596264321736</v>
      </c>
    </row>
    <row r="43" customFormat="false" ht="13.8" hidden="false" customHeight="false" outlineLevel="0" collapsed="false">
      <c r="B43" s="0" t="s">
        <v>159</v>
      </c>
      <c r="C43" s="0" t="n">
        <f aca="false">P11/Q19</f>
        <v>0.999065788179762</v>
      </c>
      <c r="D43" s="0" t="n">
        <f aca="false">C43*D34</f>
        <v>0.758857183934387</v>
      </c>
    </row>
    <row r="44" customFormat="false" ht="13.8" hidden="false" customHeight="false" outlineLevel="0" collapsed="false">
      <c r="A44" s="0" t="s">
        <v>25</v>
      </c>
      <c r="B44" s="0" t="s">
        <v>158</v>
      </c>
      <c r="C44" s="0" t="n">
        <f aca="false">P12/Q20</f>
        <v>0.000743273375947674</v>
      </c>
      <c r="D44" s="0" t="n">
        <f aca="false">C44*D35</f>
        <v>0.000566458835146603</v>
      </c>
    </row>
    <row r="45" customFormat="false" ht="13.8" hidden="false" customHeight="false" outlineLevel="0" collapsed="false">
      <c r="B45" s="0" t="s">
        <v>159</v>
      </c>
      <c r="C45" s="0" t="n">
        <f aca="false">P13/Q20</f>
        <v>0.999256726624052</v>
      </c>
      <c r="D45" s="0" t="n">
        <f aca="false">C45*D35</f>
        <v>0.761547257971093</v>
      </c>
    </row>
    <row r="46" customFormat="false" ht="13.8" hidden="false" customHeight="false" outlineLevel="0" collapsed="false">
      <c r="A46" s="0" t="s">
        <v>26</v>
      </c>
      <c r="B46" s="0" t="s">
        <v>158</v>
      </c>
      <c r="C46" s="0" t="n">
        <f aca="false">P14/Q21</f>
        <v>0.00162654521795706</v>
      </c>
      <c r="D46" s="0" t="n">
        <f aca="false">C46*D36</f>
        <v>0.00122969299638147</v>
      </c>
    </row>
    <row r="47" customFormat="false" ht="13.8" hidden="false" customHeight="false" outlineLevel="0" collapsed="false">
      <c r="B47" s="0" t="s">
        <v>159</v>
      </c>
      <c r="C47" s="0" t="n">
        <f aca="false">P15/Q21</f>
        <v>0.998373454782043</v>
      </c>
      <c r="D47" s="0" t="n">
        <f aca="false">C47*D36</f>
        <v>0.754785561178945</v>
      </c>
    </row>
    <row r="48" customFormat="false" ht="13.8" hidden="false" customHeight="false" outlineLevel="0" collapsed="false">
      <c r="A48" s="0" t="s">
        <v>27</v>
      </c>
      <c r="B48" s="0" t="s">
        <v>158</v>
      </c>
      <c r="C48" s="0" t="n">
        <f aca="false">P16/Q22</f>
        <v>0.00125628140703518</v>
      </c>
      <c r="D48" s="0" t="n">
        <f aca="false">C48*D37</f>
        <v>0.00101539752751961</v>
      </c>
    </row>
    <row r="49" customFormat="false" ht="13.8" hidden="false" customHeight="false" outlineLevel="0" collapsed="false">
      <c r="B49" s="0" t="s">
        <v>159</v>
      </c>
      <c r="C49" s="0" t="n">
        <f aca="false">P17/Q22</f>
        <v>0.998743718592965</v>
      </c>
      <c r="D49" s="0" t="n">
        <f aca="false">C49*D37</f>
        <v>0.807241034378086</v>
      </c>
    </row>
    <row r="52" customFormat="false" ht="13.8" hidden="false" customHeight="false" outlineLevel="0" collapsed="false">
      <c r="A52" s="70" t="s">
        <v>160</v>
      </c>
      <c r="B52" s="70"/>
      <c r="C52" s="70"/>
      <c r="D52" s="70"/>
      <c r="E52" s="70"/>
      <c r="F52" s="70"/>
      <c r="I52" s="70" t="s">
        <v>161</v>
      </c>
      <c r="J52" s="70"/>
      <c r="K52" s="70"/>
      <c r="L52" s="70"/>
      <c r="M52" s="70"/>
      <c r="N52" s="70"/>
      <c r="O52" s="70"/>
    </row>
    <row r="53" customFormat="false" ht="13.8" hidden="false" customHeight="false" outlineLevel="0" collapsed="false">
      <c r="A53" s="7" t="s">
        <v>85</v>
      </c>
      <c r="B53" s="7" t="s">
        <v>162</v>
      </c>
      <c r="C53" s="60" t="s">
        <v>86</v>
      </c>
      <c r="D53" s="60"/>
      <c r="E53" s="60"/>
      <c r="F53" s="7" t="s">
        <v>163</v>
      </c>
      <c r="I53" s="7" t="s">
        <v>85</v>
      </c>
      <c r="J53" s="60" t="s">
        <v>162</v>
      </c>
      <c r="K53" s="60"/>
      <c r="L53" s="60" t="s">
        <v>86</v>
      </c>
      <c r="M53" s="60"/>
      <c r="N53" s="60"/>
      <c r="O53" s="7" t="s">
        <v>164</v>
      </c>
    </row>
    <row r="54" customFormat="false" ht="13.8" hidden="false" customHeight="false" outlineLevel="0" collapsed="false">
      <c r="A54" s="0" t="s">
        <v>24</v>
      </c>
      <c r="B54" s="0" t="s">
        <v>95</v>
      </c>
      <c r="C54" s="61" t="s">
        <v>165</v>
      </c>
      <c r="D54" s="61"/>
      <c r="E54" s="61"/>
      <c r="F54" s="0" t="n">
        <f aca="false">(D34*AB27*(1+I34))/(2*(1-D42))</f>
        <v>0.0687160958248138</v>
      </c>
      <c r="I54" s="0" t="s">
        <v>24</v>
      </c>
      <c r="J54" s="61" t="s">
        <v>95</v>
      </c>
      <c r="K54" s="61"/>
      <c r="L54" s="61" t="s">
        <v>166</v>
      </c>
      <c r="M54" s="61"/>
      <c r="N54" s="61"/>
      <c r="O54" s="0" t="n">
        <f aca="false">F54+AB27</f>
        <v>0.158535060594505</v>
      </c>
    </row>
    <row r="55" customFormat="false" ht="13.8" hidden="false" customHeight="false" outlineLevel="0" collapsed="false">
      <c r="B55" s="0" t="s">
        <v>98</v>
      </c>
      <c r="C55" s="61" t="s">
        <v>167</v>
      </c>
      <c r="D55" s="61"/>
      <c r="E55" s="61"/>
      <c r="F55" s="0" t="n">
        <f aca="false">(D34*AB27*(1+I34))/(2*(1-D42)*(1-D34))</f>
        <v>0.285801171242497</v>
      </c>
      <c r="J55" s="61" t="s">
        <v>98</v>
      </c>
      <c r="K55" s="61"/>
      <c r="L55" s="61" t="s">
        <v>168</v>
      </c>
      <c r="M55" s="61"/>
      <c r="N55" s="61"/>
      <c r="O55" s="0" t="n">
        <f aca="false">F55+AB27</f>
        <v>0.375620136012188</v>
      </c>
    </row>
    <row r="56" customFormat="false" ht="13.8" hidden="false" customHeight="false" outlineLevel="0" collapsed="false">
      <c r="A56" s="0" t="s">
        <v>25</v>
      </c>
      <c r="B56" s="0" t="s">
        <v>95</v>
      </c>
      <c r="C56" s="61" t="s">
        <v>165</v>
      </c>
      <c r="D56" s="61"/>
      <c r="E56" s="61"/>
      <c r="F56" s="0" t="n">
        <f aca="false">(D35*AB28*(1+I35))/(2*(1-D44))</f>
        <v>0.141782339410994</v>
      </c>
      <c r="I56" s="0" t="s">
        <v>25</v>
      </c>
      <c r="J56" s="61" t="s">
        <v>95</v>
      </c>
      <c r="K56" s="61"/>
      <c r="L56" s="61" t="s">
        <v>166</v>
      </c>
      <c r="M56" s="61"/>
      <c r="N56" s="61"/>
      <c r="O56" s="0" t="n">
        <f aca="false">F56+AB28</f>
        <v>0.305120386573385</v>
      </c>
    </row>
    <row r="57" customFormat="false" ht="13.8" hidden="false" customHeight="false" outlineLevel="0" collapsed="false">
      <c r="B57" s="0" t="s">
        <v>98</v>
      </c>
      <c r="C57" s="61" t="s">
        <v>167</v>
      </c>
      <c r="D57" s="61"/>
      <c r="E57" s="61"/>
      <c r="F57" s="0" t="n">
        <f aca="false">(D35*AB28*(1+I35))/(2*(1-D44)*(1-D35))</f>
        <v>0.596008889236841</v>
      </c>
      <c r="J57" s="61" t="s">
        <v>98</v>
      </c>
      <c r="K57" s="61"/>
      <c r="L57" s="61" t="s">
        <v>168</v>
      </c>
      <c r="M57" s="61"/>
      <c r="N57" s="61"/>
      <c r="O57" s="0" t="n">
        <f aca="false">F57+AB28</f>
        <v>0.759346936399233</v>
      </c>
    </row>
    <row r="58" customFormat="false" ht="13.8" hidden="false" customHeight="false" outlineLevel="0" collapsed="false">
      <c r="A58" s="0" t="s">
        <v>26</v>
      </c>
      <c r="B58" s="0" t="s">
        <v>95</v>
      </c>
      <c r="C58" s="61" t="s">
        <v>165</v>
      </c>
      <c r="D58" s="61"/>
      <c r="E58" s="61"/>
      <c r="F58" s="0" t="n">
        <f aca="false">(D36*AB29*(1+I36))/(2*(1-D46))</f>
        <v>0.479810464210494</v>
      </c>
      <c r="I58" s="0" t="s">
        <v>26</v>
      </c>
      <c r="J58" s="61" t="s">
        <v>95</v>
      </c>
      <c r="K58" s="61"/>
      <c r="L58" s="61" t="s">
        <v>166</v>
      </c>
      <c r="M58" s="61"/>
      <c r="N58" s="61"/>
      <c r="O58" s="0" t="n">
        <f aca="false">F58+AB29</f>
        <v>1.02126806610103</v>
      </c>
    </row>
    <row r="59" customFormat="false" ht="13.8" hidden="false" customHeight="false" outlineLevel="0" collapsed="false">
      <c r="B59" s="0" t="s">
        <v>98</v>
      </c>
      <c r="C59" s="61" t="s">
        <v>167</v>
      </c>
      <c r="D59" s="61"/>
      <c r="E59" s="61"/>
      <c r="F59" s="0" t="n">
        <f aca="false">(D36*AB29*(1+I36))/(2*(1-D46)*(1-D36))</f>
        <v>1.96655927233781</v>
      </c>
      <c r="J59" s="61" t="s">
        <v>98</v>
      </c>
      <c r="K59" s="61"/>
      <c r="L59" s="61" t="s">
        <v>168</v>
      </c>
      <c r="M59" s="61"/>
      <c r="N59" s="61"/>
      <c r="O59" s="0" t="n">
        <f aca="false">F59+AB29</f>
        <v>2.50801687422834</v>
      </c>
    </row>
    <row r="60" customFormat="false" ht="13.8" hidden="false" customHeight="false" outlineLevel="0" collapsed="false">
      <c r="A60" s="0" t="s">
        <v>27</v>
      </c>
      <c r="B60" s="0" t="s">
        <v>109</v>
      </c>
      <c r="C60" s="61" t="s">
        <v>165</v>
      </c>
      <c r="D60" s="61"/>
      <c r="E60" s="61"/>
      <c r="F60" s="0" t="n">
        <f aca="false">(D37*AB30*(1+I37))/(2*(1-D48))</f>
        <v>3.60715318992799</v>
      </c>
      <c r="I60" s="0" t="s">
        <v>27</v>
      </c>
      <c r="J60" s="61" t="s">
        <v>109</v>
      </c>
      <c r="K60" s="61"/>
      <c r="L60" s="61" t="s">
        <v>166</v>
      </c>
      <c r="M60" s="61"/>
      <c r="N60" s="61"/>
      <c r="O60" s="0" t="n">
        <f aca="false">F60+AB30</f>
        <v>6.4667644588213</v>
      </c>
    </row>
    <row r="61" customFormat="false" ht="13.8" hidden="false" customHeight="false" outlineLevel="0" collapsed="false">
      <c r="B61" s="0" t="s">
        <v>98</v>
      </c>
      <c r="C61" s="61" t="s">
        <v>167</v>
      </c>
      <c r="D61" s="61"/>
      <c r="E61" s="61"/>
      <c r="F61" s="0" t="n">
        <f aca="false">(D37*AB30*(1+I37))/(2*(1-D48)*(1-D37))</f>
        <v>18.8123816917405</v>
      </c>
      <c r="J61" s="61" t="s">
        <v>98</v>
      </c>
      <c r="K61" s="61"/>
      <c r="L61" s="61" t="s">
        <v>168</v>
      </c>
      <c r="M61" s="61"/>
      <c r="N61" s="61"/>
      <c r="O61" s="0" t="n">
        <f aca="false">F61+AB30</f>
        <v>21.6719929606338</v>
      </c>
    </row>
    <row r="62" customFormat="false" ht="13.8" hidden="false" customHeight="false" outlineLevel="0" collapsed="false">
      <c r="A62" s="70" t="s">
        <v>169</v>
      </c>
      <c r="B62" s="70"/>
      <c r="C62" s="70"/>
      <c r="D62" s="70"/>
      <c r="E62" s="70"/>
      <c r="F62" s="70"/>
      <c r="I62" s="70" t="s">
        <v>170</v>
      </c>
      <c r="J62" s="70"/>
      <c r="K62" s="70"/>
      <c r="L62" s="70"/>
      <c r="M62" s="70"/>
      <c r="N62" s="70"/>
      <c r="O62" s="70"/>
    </row>
    <row r="63" customFormat="false" ht="13.8" hidden="false" customHeight="false" outlineLevel="0" collapsed="false">
      <c r="A63" s="7" t="s">
        <v>85</v>
      </c>
      <c r="B63" s="60" t="s">
        <v>86</v>
      </c>
      <c r="C63" s="60"/>
      <c r="D63" s="60"/>
      <c r="E63" s="60"/>
      <c r="F63" s="7" t="s">
        <v>163</v>
      </c>
      <c r="I63" s="7" t="s">
        <v>85</v>
      </c>
      <c r="J63" s="60" t="s">
        <v>86</v>
      </c>
      <c r="K63" s="60"/>
      <c r="L63" s="60"/>
      <c r="M63" s="60"/>
      <c r="N63" s="60"/>
      <c r="O63" s="7" t="s">
        <v>164</v>
      </c>
    </row>
    <row r="64" customFormat="false" ht="13.8" hidden="false" customHeight="false" outlineLevel="0" collapsed="false">
      <c r="A64" s="0" t="s">
        <v>24</v>
      </c>
      <c r="B64" s="61" t="s">
        <v>171</v>
      </c>
      <c r="C64" s="61"/>
      <c r="D64" s="61"/>
      <c r="E64" s="61"/>
      <c r="F64" s="0" t="n">
        <f aca="false">C42*F54+C43*F55</f>
        <v>0.285598367799045</v>
      </c>
      <c r="I64" s="0" t="s">
        <v>24</v>
      </c>
      <c r="J64" s="61" t="s">
        <v>172</v>
      </c>
      <c r="K64" s="61"/>
      <c r="L64" s="61"/>
      <c r="M64" s="61"/>
      <c r="N64" s="61"/>
      <c r="O64" s="0" t="n">
        <f aca="false">C42*O54+C43*O55</f>
        <v>0.375417332568736</v>
      </c>
    </row>
    <row r="65" customFormat="false" ht="13.8" hidden="false" customHeight="false" outlineLevel="0" collapsed="false">
      <c r="A65" s="0" t="s">
        <v>25</v>
      </c>
      <c r="B65" s="61" t="s">
        <v>171</v>
      </c>
      <c r="C65" s="61"/>
      <c r="D65" s="61"/>
      <c r="E65" s="61"/>
      <c r="F65" s="0" t="n">
        <f aca="false">C44*F56+C45*F57</f>
        <v>0.595671274735707</v>
      </c>
      <c r="I65" s="0" t="s">
        <v>25</v>
      </c>
      <c r="J65" s="61" t="s">
        <v>172</v>
      </c>
      <c r="K65" s="61"/>
      <c r="L65" s="61"/>
      <c r="M65" s="61"/>
      <c r="N65" s="61"/>
      <c r="O65" s="0" t="n">
        <f aca="false">C44*O56+C45*O57</f>
        <v>0.759009321898098</v>
      </c>
    </row>
    <row r="66" customFormat="false" ht="13.8" hidden="false" customHeight="false" outlineLevel="0" collapsed="false">
      <c r="A66" s="0" t="s">
        <v>26</v>
      </c>
      <c r="B66" s="61" t="s">
        <v>171</v>
      </c>
      <c r="C66" s="61"/>
      <c r="D66" s="61"/>
      <c r="E66" s="61"/>
      <c r="F66" s="0" t="n">
        <f aca="false">C46*F58+C47*F59</f>
        <v>1.96414100817364</v>
      </c>
      <c r="I66" s="0" t="s">
        <v>26</v>
      </c>
      <c r="J66" s="61" t="s">
        <v>172</v>
      </c>
      <c r="K66" s="61"/>
      <c r="L66" s="61"/>
      <c r="M66" s="61"/>
      <c r="N66" s="61"/>
      <c r="O66" s="0" t="n">
        <f aca="false">C46*O58+C47*O59</f>
        <v>2.50559861006418</v>
      </c>
    </row>
    <row r="67" customFormat="false" ht="13.8" hidden="false" customHeight="false" outlineLevel="0" collapsed="false">
      <c r="A67" s="0" t="s">
        <v>27</v>
      </c>
      <c r="B67" s="61" t="s">
        <v>171</v>
      </c>
      <c r="C67" s="61"/>
      <c r="D67" s="61"/>
      <c r="E67" s="61"/>
      <c r="F67" s="0" t="n">
        <f aca="false">C48*F60+C49*F61</f>
        <v>18.793279645884</v>
      </c>
      <c r="I67" s="0" t="s">
        <v>27</v>
      </c>
      <c r="J67" s="61" t="s">
        <v>172</v>
      </c>
      <c r="K67" s="61"/>
      <c r="L67" s="61"/>
      <c r="M67" s="61"/>
      <c r="N67" s="61"/>
      <c r="O67" s="0" t="n">
        <f aca="false">C48*O60+C49*O61</f>
        <v>21.6528909147773</v>
      </c>
    </row>
    <row r="70" customFormat="false" ht="13.8" hidden="false" customHeight="false" outlineLevel="0" collapsed="false">
      <c r="A70" s="70" t="s">
        <v>173</v>
      </c>
      <c r="B70" s="70"/>
      <c r="C70" s="70"/>
      <c r="D70" s="70"/>
      <c r="E70" s="70"/>
      <c r="F70" s="70"/>
      <c r="I70" s="70" t="s">
        <v>174</v>
      </c>
      <c r="J70" s="70"/>
      <c r="K70" s="70"/>
      <c r="L70" s="70"/>
      <c r="M70" s="70"/>
      <c r="N70" s="70"/>
      <c r="O70" s="70"/>
    </row>
    <row r="71" customFormat="false" ht="13.8" hidden="false" customHeight="false" outlineLevel="0" collapsed="false">
      <c r="A71" s="7" t="s">
        <v>85</v>
      </c>
      <c r="B71" s="7" t="s">
        <v>162</v>
      </c>
      <c r="C71" s="60" t="s">
        <v>86</v>
      </c>
      <c r="D71" s="60"/>
      <c r="E71" s="60"/>
      <c r="F71" s="7" t="s">
        <v>175</v>
      </c>
      <c r="I71" s="7" t="s">
        <v>85</v>
      </c>
      <c r="J71" s="60" t="s">
        <v>162</v>
      </c>
      <c r="K71" s="60"/>
      <c r="L71" s="60" t="s">
        <v>86</v>
      </c>
      <c r="M71" s="60"/>
      <c r="N71" s="60"/>
      <c r="O71" s="7" t="s">
        <v>176</v>
      </c>
    </row>
    <row r="72" customFormat="false" ht="13.8" hidden="false" customHeight="false" outlineLevel="0" collapsed="false">
      <c r="A72" s="0" t="s">
        <v>24</v>
      </c>
      <c r="B72" s="0" t="s">
        <v>95</v>
      </c>
      <c r="C72" s="61" t="s">
        <v>177</v>
      </c>
      <c r="D72" s="61"/>
      <c r="E72" s="61"/>
      <c r="F72" s="0" t="n">
        <f aca="false">P10*F54</f>
        <v>0.000542877386987169</v>
      </c>
      <c r="I72" s="0" t="s">
        <v>24</v>
      </c>
      <c r="J72" s="61" t="s">
        <v>95</v>
      </c>
      <c r="K72" s="61"/>
      <c r="L72" s="61" t="s">
        <v>178</v>
      </c>
      <c r="M72" s="61"/>
      <c r="N72" s="61"/>
      <c r="O72" s="0" t="n">
        <f aca="false">P10*O54</f>
        <v>0.0012524736513089</v>
      </c>
    </row>
    <row r="73" customFormat="false" ht="13.8" hidden="false" customHeight="false" outlineLevel="0" collapsed="false">
      <c r="B73" s="0" t="s">
        <v>98</v>
      </c>
      <c r="C73" s="61" t="s">
        <v>179</v>
      </c>
      <c r="D73" s="61"/>
      <c r="E73" s="61"/>
      <c r="F73" s="0" t="n">
        <f aca="false">P11*F55</f>
        <v>2.41466011694022</v>
      </c>
      <c r="J73" s="61" t="s">
        <v>98</v>
      </c>
      <c r="K73" s="61"/>
      <c r="L73" s="61" t="s">
        <v>180</v>
      </c>
      <c r="M73" s="61"/>
      <c r="N73" s="61"/>
      <c r="O73" s="0" t="n">
        <f aca="false">P11*O55</f>
        <v>3.17351730087461</v>
      </c>
    </row>
    <row r="74" customFormat="false" ht="13.8" hidden="false" customHeight="false" outlineLevel="0" collapsed="false">
      <c r="A74" s="0" t="s">
        <v>25</v>
      </c>
      <c r="B74" s="0" t="s">
        <v>95</v>
      </c>
      <c r="C74" s="61" t="s">
        <v>181</v>
      </c>
      <c r="D74" s="61"/>
      <c r="E74" s="61"/>
      <c r="F74" s="0" t="n">
        <f aca="false">P12*F56</f>
        <v>0.000491703312378059</v>
      </c>
      <c r="I74" s="0" t="s">
        <v>25</v>
      </c>
      <c r="J74" s="61" t="s">
        <v>95</v>
      </c>
      <c r="K74" s="61"/>
      <c r="L74" s="61" t="s">
        <v>182</v>
      </c>
      <c r="M74" s="61"/>
      <c r="N74" s="61"/>
      <c r="O74" s="0" t="n">
        <f aca="false">P12*O56</f>
        <v>0.00105816214752466</v>
      </c>
    </row>
    <row r="75" customFormat="false" ht="13.8" hidden="false" customHeight="false" outlineLevel="0" collapsed="false">
      <c r="B75" s="0" t="s">
        <v>98</v>
      </c>
      <c r="C75" s="61" t="s">
        <v>183</v>
      </c>
      <c r="D75" s="61"/>
      <c r="E75" s="61"/>
      <c r="F75" s="0" t="n">
        <f aca="false">P13*F57</f>
        <v>2.77883165135098</v>
      </c>
      <c r="J75" s="61" t="s">
        <v>98</v>
      </c>
      <c r="K75" s="61"/>
      <c r="L75" s="61" t="s">
        <v>184</v>
      </c>
      <c r="M75" s="61"/>
      <c r="N75" s="61"/>
      <c r="O75" s="0" t="n">
        <f aca="false">P13*O57</f>
        <v>3.54037890932207</v>
      </c>
    </row>
    <row r="76" customFormat="false" ht="13.8" hidden="false" customHeight="false" outlineLevel="0" collapsed="false">
      <c r="A76" s="0" t="s">
        <v>26</v>
      </c>
      <c r="B76" s="0" t="s">
        <v>95</v>
      </c>
      <c r="C76" s="61" t="s">
        <v>185</v>
      </c>
      <c r="D76" s="61"/>
      <c r="E76" s="61"/>
      <c r="F76" s="0" t="n">
        <f aca="false">P14*F58</f>
        <v>0.00108968747575081</v>
      </c>
      <c r="I76" s="0" t="s">
        <v>26</v>
      </c>
      <c r="J76" s="61" t="s">
        <v>95</v>
      </c>
      <c r="K76" s="61"/>
      <c r="L76" s="61" t="s">
        <v>186</v>
      </c>
      <c r="M76" s="61"/>
      <c r="N76" s="61"/>
      <c r="O76" s="0" t="n">
        <f aca="false">P14*O58</f>
        <v>0.00231938047213227</v>
      </c>
    </row>
    <row r="77" customFormat="false" ht="13.8" hidden="false" customHeight="false" outlineLevel="0" collapsed="false">
      <c r="B77" s="0" t="s">
        <v>98</v>
      </c>
      <c r="C77" s="61" t="s">
        <v>187</v>
      </c>
      <c r="D77" s="61"/>
      <c r="E77" s="61"/>
      <c r="F77" s="0" t="n">
        <f aca="false">P15*F59</f>
        <v>2.74136061398067</v>
      </c>
      <c r="J77" s="61" t="s">
        <v>98</v>
      </c>
      <c r="K77" s="61"/>
      <c r="L77" s="61" t="s">
        <v>188</v>
      </c>
      <c r="M77" s="61"/>
      <c r="N77" s="61"/>
      <c r="O77" s="0" t="n">
        <f aca="false">P15*O59</f>
        <v>3.49614617515962</v>
      </c>
    </row>
    <row r="78" customFormat="false" ht="13.8" hidden="false" customHeight="false" outlineLevel="0" collapsed="false">
      <c r="A78" s="0" t="s">
        <v>27</v>
      </c>
      <c r="B78" s="0" t="s">
        <v>109</v>
      </c>
      <c r="C78" s="61" t="s">
        <v>189</v>
      </c>
      <c r="D78" s="61"/>
      <c r="E78" s="61"/>
      <c r="F78" s="0" t="n">
        <f aca="false">P16*F60</f>
        <v>0.00128083647951731</v>
      </c>
      <c r="I78" s="0" t="s">
        <v>27</v>
      </c>
      <c r="J78" s="61" t="s">
        <v>109</v>
      </c>
      <c r="K78" s="61"/>
      <c r="L78" s="61" t="s">
        <v>190</v>
      </c>
      <c r="M78" s="61"/>
      <c r="N78" s="61"/>
      <c r="O78" s="0" t="n">
        <f aca="false">P16*O60</f>
        <v>0.00229623400703692</v>
      </c>
    </row>
    <row r="79" customFormat="false" ht="13.8" hidden="false" customHeight="false" outlineLevel="0" collapsed="false">
      <c r="B79" s="0" t="s">
        <v>98</v>
      </c>
      <c r="C79" s="61" t="s">
        <v>191</v>
      </c>
      <c r="D79" s="61"/>
      <c r="E79" s="61"/>
      <c r="F79" s="0" t="n">
        <f aca="false">P17*F61</f>
        <v>5.31055623578976</v>
      </c>
      <c r="J79" s="61" t="s">
        <v>98</v>
      </c>
      <c r="K79" s="61"/>
      <c r="L79" s="61" t="s">
        <v>192</v>
      </c>
      <c r="M79" s="61"/>
      <c r="N79" s="61"/>
      <c r="O79" s="0" t="n">
        <f aca="false">P17*O61</f>
        <v>6.11779727016784</v>
      </c>
    </row>
    <row r="80" customFormat="false" ht="13.8" hidden="false" customHeight="false" outlineLevel="0" collapsed="false">
      <c r="A80" s="70" t="s">
        <v>193</v>
      </c>
      <c r="B80" s="70"/>
      <c r="C80" s="70"/>
      <c r="D80" s="70"/>
      <c r="E80" s="70"/>
      <c r="F80" s="70"/>
      <c r="I80" s="70" t="s">
        <v>194</v>
      </c>
      <c r="J80" s="70"/>
      <c r="K80" s="70"/>
      <c r="L80" s="70"/>
      <c r="M80" s="70"/>
      <c r="N80" s="70"/>
      <c r="O80" s="70"/>
    </row>
    <row r="81" customFormat="false" ht="13.8" hidden="false" customHeight="false" outlineLevel="0" collapsed="false">
      <c r="A81" s="7" t="s">
        <v>85</v>
      </c>
      <c r="B81" s="60" t="s">
        <v>86</v>
      </c>
      <c r="C81" s="60"/>
      <c r="D81" s="60"/>
      <c r="E81" s="60"/>
      <c r="F81" s="7" t="s">
        <v>175</v>
      </c>
      <c r="I81" s="7" t="s">
        <v>85</v>
      </c>
      <c r="J81" s="60" t="s">
        <v>86</v>
      </c>
      <c r="K81" s="60"/>
      <c r="L81" s="60"/>
      <c r="M81" s="60"/>
      <c r="N81" s="60"/>
      <c r="O81" s="7" t="s">
        <v>176</v>
      </c>
    </row>
    <row r="82" customFormat="false" ht="13.8" hidden="false" customHeight="false" outlineLevel="0" collapsed="false">
      <c r="A82" s="0" t="s">
        <v>24</v>
      </c>
      <c r="B82" s="61" t="s">
        <v>195</v>
      </c>
      <c r="C82" s="61"/>
      <c r="D82" s="61"/>
      <c r="E82" s="61"/>
      <c r="F82" s="0" t="n">
        <f aca="false">Q19*F64</f>
        <v>2.41520299432721</v>
      </c>
      <c r="I82" s="0" t="s">
        <v>24</v>
      </c>
      <c r="J82" s="61" t="s">
        <v>196</v>
      </c>
      <c r="K82" s="61"/>
      <c r="L82" s="61"/>
      <c r="M82" s="61"/>
      <c r="N82" s="61"/>
      <c r="O82" s="0" t="n">
        <f aca="false">Q19*O64</f>
        <v>3.17476977452591</v>
      </c>
    </row>
    <row r="83" customFormat="false" ht="13.8" hidden="false" customHeight="false" outlineLevel="0" collapsed="false">
      <c r="A83" s="0" t="s">
        <v>25</v>
      </c>
      <c r="B83" s="61" t="s">
        <v>197</v>
      </c>
      <c r="C83" s="61"/>
      <c r="D83" s="61"/>
      <c r="E83" s="61"/>
      <c r="F83" s="0" t="n">
        <f aca="false">Q20*F65</f>
        <v>2.77932335466335</v>
      </c>
      <c r="I83" s="0" t="s">
        <v>25</v>
      </c>
      <c r="J83" s="61" t="s">
        <v>198</v>
      </c>
      <c r="K83" s="61"/>
      <c r="L83" s="61"/>
      <c r="M83" s="61"/>
      <c r="N83" s="61"/>
      <c r="O83" s="0" t="n">
        <f aca="false">Q20*O65</f>
        <v>3.54143707146959</v>
      </c>
    </row>
    <row r="84" customFormat="false" ht="13.8" hidden="false" customHeight="false" outlineLevel="0" collapsed="false">
      <c r="A84" s="0" t="s">
        <v>26</v>
      </c>
      <c r="B84" s="61" t="s">
        <v>199</v>
      </c>
      <c r="C84" s="61"/>
      <c r="D84" s="61"/>
      <c r="E84" s="61"/>
      <c r="F84" s="0" t="n">
        <f aca="false">Q21*F66</f>
        <v>2.74245030145642</v>
      </c>
      <c r="I84" s="0" t="s">
        <v>26</v>
      </c>
      <c r="J84" s="61" t="s">
        <v>200</v>
      </c>
      <c r="K84" s="61"/>
      <c r="L84" s="61"/>
      <c r="M84" s="61"/>
      <c r="N84" s="61"/>
      <c r="O84" s="0" t="n">
        <f aca="false">Q21*O66</f>
        <v>3.49846555563175</v>
      </c>
    </row>
    <row r="85" customFormat="false" ht="13.8" hidden="false" customHeight="false" outlineLevel="0" collapsed="false">
      <c r="A85" s="0" t="s">
        <v>27</v>
      </c>
      <c r="B85" s="61" t="s">
        <v>201</v>
      </c>
      <c r="C85" s="61"/>
      <c r="D85" s="61"/>
      <c r="E85" s="61"/>
      <c r="F85" s="0" t="n">
        <f aca="false">Q22*F67</f>
        <v>5.31183707226927</v>
      </c>
      <c r="I85" s="0" t="s">
        <v>27</v>
      </c>
      <c r="J85" s="61" t="s">
        <v>202</v>
      </c>
      <c r="K85" s="61"/>
      <c r="L85" s="61"/>
      <c r="M85" s="61"/>
      <c r="N85" s="61"/>
      <c r="O85" s="0" t="n">
        <f aca="false">Q22*O67</f>
        <v>6.12009350417488</v>
      </c>
    </row>
  </sheetData>
  <mergeCells count="166"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A18:G18"/>
    <mergeCell ref="I18:Q18"/>
    <mergeCell ref="S18:T18"/>
    <mergeCell ref="C19:F19"/>
    <mergeCell ref="J19:P19"/>
    <mergeCell ref="C20:F20"/>
    <mergeCell ref="J20:P20"/>
    <mergeCell ref="C21:F21"/>
    <mergeCell ref="J21:P21"/>
    <mergeCell ref="C22:F22"/>
    <mergeCell ref="J22:P22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A40:D40"/>
    <mergeCell ref="A52:F52"/>
    <mergeCell ref="I52:O52"/>
    <mergeCell ref="C53:E53"/>
    <mergeCell ref="J53:K53"/>
    <mergeCell ref="L53:N53"/>
    <mergeCell ref="C54:E54"/>
    <mergeCell ref="J54:K54"/>
    <mergeCell ref="L54:N54"/>
    <mergeCell ref="C55:E55"/>
    <mergeCell ref="J55:K55"/>
    <mergeCell ref="L55:N55"/>
    <mergeCell ref="C56:E56"/>
    <mergeCell ref="J56:K56"/>
    <mergeCell ref="L56:N56"/>
    <mergeCell ref="C57:E57"/>
    <mergeCell ref="J57:K57"/>
    <mergeCell ref="L57:N57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B82:E82"/>
    <mergeCell ref="J82:N82"/>
    <mergeCell ref="B83:E83"/>
    <mergeCell ref="J83:N83"/>
    <mergeCell ref="B84:E84"/>
    <mergeCell ref="J84:N84"/>
    <mergeCell ref="B85:E85"/>
    <mergeCell ref="J85:N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Danilo Dell'Orco</dc:creator>
  <dc:description/>
  <dc:language>it-IT</dc:language>
  <cp:lastModifiedBy/>
  <dcterms:modified xsi:type="dcterms:W3CDTF">2023-08-07T10:02:18Z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