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473" documentId="13_ncr:1_{5C906443-4F5B-40CD-81E0-07D312106D6E}" xr6:coauthVersionLast="47" xr6:coauthVersionMax="47" xr10:uidLastSave="{7298D820-CBD5-4683-899A-F1CEAFB44941}"/>
  <bookViews>
    <workbookView xWindow="20370" yWindow="-120" windowWidth="29040" windowHeight="15840" tabRatio="500" activeTab="3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Foglio2" sheetId="8" r:id="rId5"/>
    <sheet name="Verifica - ABO ID - V2" sheetId="6" r:id="rId6"/>
  </sheets>
  <definedNames>
    <definedName name="_xlnm._FilterDatabase" localSheetId="1" hidden="1">Arrivi!$A$2:$D$22</definedName>
    <definedName name="_xlnm._FilterDatabase" localSheetId="0" hidden="1">Dati_OPTN!$N$25:$Y$45</definedName>
    <definedName name="_xlnm._FilterDatabase" localSheetId="2" hidden="1">Uscite!$A$25:$E$45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" i="5" l="1"/>
  <c r="C46" i="5"/>
  <c r="C47" i="5"/>
  <c r="C48" i="5"/>
  <c r="E48" i="5" s="1"/>
  <c r="C49" i="5"/>
  <c r="C50" i="5"/>
  <c r="C51" i="5"/>
  <c r="C44" i="5"/>
  <c r="E46" i="5"/>
  <c r="E47" i="5"/>
  <c r="E49" i="5"/>
  <c r="E50" i="5"/>
  <c r="E51" i="5"/>
  <c r="E45" i="5"/>
  <c r="E44" i="5"/>
  <c r="G34" i="5"/>
  <c r="G35" i="5"/>
  <c r="G36" i="5"/>
  <c r="G37" i="5"/>
  <c r="G38" i="5"/>
  <c r="G39" i="5"/>
  <c r="G40" i="5"/>
  <c r="G33" i="5"/>
  <c r="D33" i="5"/>
  <c r="D34" i="5"/>
  <c r="D35" i="5"/>
  <c r="D36" i="5"/>
  <c r="D37" i="5"/>
  <c r="D38" i="5"/>
  <c r="D39" i="5"/>
  <c r="D40" i="5"/>
  <c r="C34" i="5"/>
  <c r="C35" i="5"/>
  <c r="C36" i="5"/>
  <c r="C37" i="5"/>
  <c r="C38" i="5"/>
  <c r="C39" i="5"/>
  <c r="C40" i="5"/>
  <c r="C33" i="5"/>
  <c r="G3" i="8"/>
  <c r="F22" i="5"/>
  <c r="F3" i="8"/>
  <c r="D4" i="8"/>
  <c r="D3" i="8"/>
  <c r="F16" i="5"/>
  <c r="F13" i="5"/>
  <c r="F11" i="5"/>
  <c r="F15" i="5"/>
  <c r="F12" i="5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49" i="3"/>
  <c r="C49" i="3"/>
  <c r="D49" i="3" s="1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7" i="3"/>
  <c r="P27" i="3" s="1"/>
  <c r="N28" i="3"/>
  <c r="P28" i="3" s="1"/>
  <c r="N29" i="3"/>
  <c r="P29" i="3" s="1"/>
  <c r="N30" i="3"/>
  <c r="O30" i="3" s="1"/>
  <c r="N31" i="3"/>
  <c r="P31" i="3" s="1"/>
  <c r="N32" i="3"/>
  <c r="P32" i="3" s="1"/>
  <c r="N33" i="3"/>
  <c r="O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26" i="3"/>
  <c r="P26" i="3" s="1"/>
  <c r="P19" i="3"/>
  <c r="O15" i="3"/>
  <c r="N22" i="3"/>
  <c r="P22" i="3" s="1"/>
  <c r="N4" i="3"/>
  <c r="P4" i="3" s="1"/>
  <c r="N5" i="3"/>
  <c r="O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O14" i="3" s="1"/>
  <c r="N15" i="3"/>
  <c r="P15" i="3" s="1"/>
  <c r="N16" i="3"/>
  <c r="P16" i="3" s="1"/>
  <c r="N17" i="3"/>
  <c r="P17" i="3" s="1"/>
  <c r="N18" i="3"/>
  <c r="P18" i="3" s="1"/>
  <c r="N19" i="3"/>
  <c r="O19" i="3" s="1"/>
  <c r="N20" i="3"/>
  <c r="P20" i="3" s="1"/>
  <c r="N21" i="3"/>
  <c r="O21" i="3" s="1"/>
  <c r="N3" i="3"/>
  <c r="P3" i="3" s="1"/>
  <c r="J26" i="3"/>
  <c r="J6" i="3"/>
  <c r="J18" i="3"/>
  <c r="L15" i="2"/>
  <c r="M15" i="2" s="1"/>
  <c r="L11" i="2"/>
  <c r="M11" i="2" s="1"/>
  <c r="H7" i="2"/>
  <c r="L3" i="2"/>
  <c r="M3" i="2" s="1"/>
  <c r="S65" i="1"/>
  <c r="T65" i="1"/>
  <c r="W65" i="1"/>
  <c r="X65" i="1"/>
  <c r="T61" i="1"/>
  <c r="X61" i="1"/>
  <c r="P61" i="1"/>
  <c r="C57" i="3"/>
  <c r="D57" i="3" s="1"/>
  <c r="T57" i="1"/>
  <c r="X57" i="1"/>
  <c r="P57" i="1"/>
  <c r="T53" i="1"/>
  <c r="X53" i="1"/>
  <c r="P53" i="1"/>
  <c r="P50" i="1"/>
  <c r="Q50" i="1"/>
  <c r="R50" i="1"/>
  <c r="S50" i="1"/>
  <c r="T50" i="1"/>
  <c r="U50" i="1"/>
  <c r="V50" i="1"/>
  <c r="W50" i="1"/>
  <c r="X50" i="1"/>
  <c r="Y50" i="1"/>
  <c r="P51" i="1"/>
  <c r="Q51" i="1"/>
  <c r="R51" i="1"/>
  <c r="S51" i="1"/>
  <c r="T51" i="1"/>
  <c r="U51" i="1"/>
  <c r="V51" i="1"/>
  <c r="W51" i="1"/>
  <c r="X51" i="1"/>
  <c r="Y51" i="1"/>
  <c r="P52" i="1"/>
  <c r="Q52" i="1"/>
  <c r="R52" i="1"/>
  <c r="S52" i="1"/>
  <c r="T52" i="1"/>
  <c r="U52" i="1"/>
  <c r="V52" i="1"/>
  <c r="W52" i="1"/>
  <c r="X52" i="1"/>
  <c r="Y52" i="1"/>
  <c r="Q53" i="1"/>
  <c r="R53" i="1"/>
  <c r="S53" i="1"/>
  <c r="U53" i="1"/>
  <c r="V53" i="1"/>
  <c r="W53" i="1"/>
  <c r="Y53" i="1"/>
  <c r="P54" i="1"/>
  <c r="Q54" i="1"/>
  <c r="R54" i="1"/>
  <c r="S54" i="1"/>
  <c r="T54" i="1"/>
  <c r="U54" i="1"/>
  <c r="V54" i="1"/>
  <c r="W54" i="1"/>
  <c r="X54" i="1"/>
  <c r="Y54" i="1"/>
  <c r="P55" i="1"/>
  <c r="I32" i="3" s="1"/>
  <c r="J32" i="3" s="1"/>
  <c r="Q55" i="1"/>
  <c r="R55" i="1"/>
  <c r="S55" i="1"/>
  <c r="T55" i="1"/>
  <c r="U55" i="1"/>
  <c r="V55" i="1"/>
  <c r="W55" i="1"/>
  <c r="X55" i="1"/>
  <c r="Y55" i="1"/>
  <c r="P56" i="1"/>
  <c r="Q56" i="1"/>
  <c r="R56" i="1"/>
  <c r="S56" i="1"/>
  <c r="T56" i="1"/>
  <c r="U56" i="1"/>
  <c r="V56" i="1"/>
  <c r="W56" i="1"/>
  <c r="X56" i="1"/>
  <c r="Y56" i="1"/>
  <c r="Q57" i="1"/>
  <c r="R57" i="1"/>
  <c r="S57" i="1"/>
  <c r="U57" i="1"/>
  <c r="V57" i="1"/>
  <c r="W57" i="1"/>
  <c r="Y57" i="1"/>
  <c r="P58" i="1"/>
  <c r="Q58" i="1"/>
  <c r="R58" i="1"/>
  <c r="S58" i="1"/>
  <c r="T58" i="1"/>
  <c r="U58" i="1"/>
  <c r="V58" i="1"/>
  <c r="W58" i="1"/>
  <c r="X58" i="1"/>
  <c r="Y58" i="1"/>
  <c r="P59" i="1"/>
  <c r="Q59" i="1"/>
  <c r="R59" i="1"/>
  <c r="S59" i="1"/>
  <c r="T59" i="1"/>
  <c r="U59" i="1"/>
  <c r="V59" i="1"/>
  <c r="W59" i="1"/>
  <c r="X59" i="1"/>
  <c r="Y59" i="1"/>
  <c r="P60" i="1"/>
  <c r="Q60" i="1"/>
  <c r="R60" i="1"/>
  <c r="S60" i="1"/>
  <c r="T60" i="1"/>
  <c r="U60" i="1"/>
  <c r="V60" i="1"/>
  <c r="W60" i="1"/>
  <c r="X60" i="1"/>
  <c r="Y60" i="1"/>
  <c r="Q61" i="1"/>
  <c r="R61" i="1"/>
  <c r="S61" i="1"/>
  <c r="U61" i="1"/>
  <c r="V61" i="1"/>
  <c r="W61" i="1"/>
  <c r="Y61" i="1"/>
  <c r="P62" i="1"/>
  <c r="Q62" i="1"/>
  <c r="R62" i="1"/>
  <c r="S62" i="1"/>
  <c r="T62" i="1"/>
  <c r="U62" i="1"/>
  <c r="V62" i="1"/>
  <c r="W62" i="1"/>
  <c r="X62" i="1"/>
  <c r="Y62" i="1"/>
  <c r="P63" i="1"/>
  <c r="I40" i="3" s="1"/>
  <c r="J40" i="3" s="1"/>
  <c r="Q63" i="1"/>
  <c r="R63" i="1"/>
  <c r="S63" i="1"/>
  <c r="T63" i="1"/>
  <c r="U63" i="1"/>
  <c r="V63" i="1"/>
  <c r="W63" i="1"/>
  <c r="X63" i="1"/>
  <c r="Y63" i="1"/>
  <c r="P64" i="1"/>
  <c r="Q64" i="1"/>
  <c r="R64" i="1"/>
  <c r="S64" i="1"/>
  <c r="T64" i="1"/>
  <c r="U64" i="1"/>
  <c r="V64" i="1"/>
  <c r="W64" i="1"/>
  <c r="X64" i="1"/>
  <c r="Y64" i="1"/>
  <c r="P65" i="1"/>
  <c r="Q65" i="1"/>
  <c r="R65" i="1"/>
  <c r="U65" i="1"/>
  <c r="V65" i="1"/>
  <c r="Y65" i="1"/>
  <c r="P66" i="1"/>
  <c r="Q66" i="1"/>
  <c r="R66" i="1"/>
  <c r="S66" i="1"/>
  <c r="T66" i="1"/>
  <c r="U66" i="1"/>
  <c r="V66" i="1"/>
  <c r="W66" i="1"/>
  <c r="X66" i="1"/>
  <c r="Y66" i="1"/>
  <c r="P67" i="1"/>
  <c r="Q67" i="1"/>
  <c r="R67" i="1"/>
  <c r="S67" i="1"/>
  <c r="T67" i="1"/>
  <c r="U67" i="1"/>
  <c r="V67" i="1"/>
  <c r="W67" i="1"/>
  <c r="X67" i="1"/>
  <c r="Y67" i="1"/>
  <c r="P68" i="1"/>
  <c r="Q68" i="1"/>
  <c r="R68" i="1"/>
  <c r="S68" i="1"/>
  <c r="T68" i="1"/>
  <c r="U68" i="1"/>
  <c r="V68" i="1"/>
  <c r="W68" i="1"/>
  <c r="X68" i="1"/>
  <c r="Y68" i="1"/>
  <c r="Q49" i="1"/>
  <c r="R49" i="1"/>
  <c r="S49" i="1"/>
  <c r="T49" i="1"/>
  <c r="U49" i="1"/>
  <c r="V49" i="1"/>
  <c r="W49" i="1"/>
  <c r="X49" i="1"/>
  <c r="Y49" i="1"/>
  <c r="P49" i="1"/>
  <c r="I26" i="3" s="1"/>
  <c r="C19" i="3"/>
  <c r="C3" i="3"/>
  <c r="D3" i="3" s="1"/>
  <c r="F4" i="5"/>
  <c r="G4" i="5" s="1"/>
  <c r="H4" i="5" s="1"/>
  <c r="F5" i="5"/>
  <c r="G5" i="5" s="1"/>
  <c r="H5" i="5" s="1"/>
  <c r="F6" i="5"/>
  <c r="G6" i="5" s="1"/>
  <c r="H6" i="5" s="1"/>
  <c r="F3" i="5"/>
  <c r="G3" i="5" s="1"/>
  <c r="H3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H3" i="2"/>
  <c r="E4" i="5"/>
  <c r="E5" i="5"/>
  <c r="E6" i="5"/>
  <c r="E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J21" i="3" s="1"/>
  <c r="C21" i="3"/>
  <c r="I20" i="3"/>
  <c r="J20" i="3" s="1"/>
  <c r="C20" i="3"/>
  <c r="I18" i="3"/>
  <c r="C18" i="3"/>
  <c r="I17" i="3"/>
  <c r="J17" i="3" s="1"/>
  <c r="C17" i="3"/>
  <c r="I16" i="3"/>
  <c r="J16" i="3" s="1"/>
  <c r="C16" i="3"/>
  <c r="I15" i="3"/>
  <c r="J15" i="3" s="1"/>
  <c r="I14" i="3"/>
  <c r="J14" i="3" s="1"/>
  <c r="C14" i="3"/>
  <c r="I13" i="3"/>
  <c r="J13" i="3" s="1"/>
  <c r="C13" i="3"/>
  <c r="I12" i="3"/>
  <c r="J12" i="3" s="1"/>
  <c r="C12" i="3"/>
  <c r="I11" i="3"/>
  <c r="J11" i="3" s="1"/>
  <c r="I10" i="3"/>
  <c r="J10" i="3" s="1"/>
  <c r="C10" i="3"/>
  <c r="I9" i="3"/>
  <c r="J9" i="3" s="1"/>
  <c r="C9" i="3"/>
  <c r="I8" i="3"/>
  <c r="J8" i="3" s="1"/>
  <c r="C8" i="3"/>
  <c r="I6" i="3"/>
  <c r="C6" i="3"/>
  <c r="I5" i="3"/>
  <c r="J5" i="3" s="1"/>
  <c r="C5" i="3"/>
  <c r="I4" i="3"/>
  <c r="J4" i="3" s="1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H18" i="2"/>
  <c r="C18" i="2"/>
  <c r="H17" i="2"/>
  <c r="C17" i="2"/>
  <c r="H16" i="2"/>
  <c r="C16" i="2"/>
  <c r="H15" i="2"/>
  <c r="H14" i="2"/>
  <c r="C14" i="2"/>
  <c r="H13" i="2"/>
  <c r="C13" i="2"/>
  <c r="H12" i="2"/>
  <c r="C12" i="2"/>
  <c r="D12" i="2" s="1"/>
  <c r="H11" i="2"/>
  <c r="H10" i="2"/>
  <c r="C10" i="2"/>
  <c r="H9" i="2"/>
  <c r="C9" i="2"/>
  <c r="H8" i="2"/>
  <c r="C8" i="2"/>
  <c r="C7" i="2"/>
  <c r="H6" i="2"/>
  <c r="C6" i="2"/>
  <c r="H5" i="2"/>
  <c r="C5" i="2"/>
  <c r="H4" i="2"/>
  <c r="C4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I45" i="3"/>
  <c r="J45" i="3" s="1"/>
  <c r="I44" i="3"/>
  <c r="J44" i="3" s="1"/>
  <c r="I43" i="3"/>
  <c r="J43" i="3" s="1"/>
  <c r="I39" i="3"/>
  <c r="J39" i="3" s="1"/>
  <c r="I37" i="3"/>
  <c r="J37" i="3" s="1"/>
  <c r="I36" i="3"/>
  <c r="J36" i="3" s="1"/>
  <c r="I35" i="3"/>
  <c r="J35" i="3" s="1"/>
  <c r="I31" i="3"/>
  <c r="J31" i="3" s="1"/>
  <c r="I28" i="3"/>
  <c r="J28" i="3" s="1"/>
  <c r="I27" i="3"/>
  <c r="J27" i="3" s="1"/>
  <c r="I4" i="8" l="1"/>
  <c r="I3" i="8"/>
  <c r="J3" i="8" s="1"/>
  <c r="F14" i="5"/>
  <c r="F10" i="5"/>
  <c r="F17" i="5"/>
  <c r="C24" i="5"/>
  <c r="F35" i="5" s="1"/>
  <c r="C27" i="5"/>
  <c r="F38" i="5" s="1"/>
  <c r="C28" i="5"/>
  <c r="F39" i="5" s="1"/>
  <c r="C25" i="5"/>
  <c r="F36" i="5" s="1"/>
  <c r="C26" i="5"/>
  <c r="F37" i="5" s="1"/>
  <c r="O11" i="3"/>
  <c r="O22" i="3"/>
  <c r="O7" i="3"/>
  <c r="O3" i="3"/>
  <c r="O26" i="3"/>
  <c r="O38" i="3"/>
  <c r="P30" i="3"/>
  <c r="O18" i="3"/>
  <c r="O10" i="3"/>
  <c r="O6" i="3"/>
  <c r="P14" i="3"/>
  <c r="O45" i="3"/>
  <c r="O37" i="3"/>
  <c r="O29" i="3"/>
  <c r="P33" i="3"/>
  <c r="O17" i="3"/>
  <c r="O9" i="3"/>
  <c r="P21" i="3"/>
  <c r="P5" i="3"/>
  <c r="O44" i="3"/>
  <c r="O40" i="3"/>
  <c r="O36" i="3"/>
  <c r="O32" i="3"/>
  <c r="O28" i="3"/>
  <c r="O42" i="3"/>
  <c r="O34" i="3"/>
  <c r="O41" i="3"/>
  <c r="O13" i="3"/>
  <c r="O20" i="3"/>
  <c r="O16" i="3"/>
  <c r="O12" i="3"/>
  <c r="O8" i="3"/>
  <c r="O4" i="3"/>
  <c r="O43" i="3"/>
  <c r="O39" i="3"/>
  <c r="O35" i="3"/>
  <c r="O31" i="3"/>
  <c r="O27" i="3"/>
  <c r="L19" i="2"/>
  <c r="M19" i="2" s="1"/>
  <c r="C19" i="2"/>
  <c r="H19" i="2"/>
  <c r="C15" i="2"/>
  <c r="C11" i="2"/>
  <c r="L7" i="2"/>
  <c r="M7" i="2" s="1"/>
  <c r="C65" i="3"/>
  <c r="C61" i="3"/>
  <c r="C53" i="3"/>
  <c r="E59" i="3"/>
  <c r="E63" i="3"/>
  <c r="I19" i="3"/>
  <c r="J19" i="3" s="1"/>
  <c r="C15" i="3"/>
  <c r="C11" i="3"/>
  <c r="D11" i="3" s="1"/>
  <c r="C7" i="3"/>
  <c r="E7" i="3" s="1"/>
  <c r="I7" i="3"/>
  <c r="J7" i="3" s="1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C34" i="3"/>
  <c r="D34" i="3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J42" i="3" s="1"/>
  <c r="C43" i="3"/>
  <c r="D43" i="3" s="1"/>
  <c r="D4" i="2"/>
  <c r="D8" i="2"/>
  <c r="C30" i="3"/>
  <c r="D30" i="3" s="1"/>
  <c r="E64" i="3"/>
  <c r="U91" i="6"/>
  <c r="V91" i="6" s="1"/>
  <c r="C36" i="3"/>
  <c r="D6" i="2"/>
  <c r="D10" i="2"/>
  <c r="D11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K3" i="8" l="1"/>
  <c r="C22" i="5"/>
  <c r="F33" i="5" s="1"/>
  <c r="C23" i="5"/>
  <c r="F34" i="5" s="1"/>
  <c r="C29" i="5"/>
  <c r="F40" i="5" s="1"/>
  <c r="E36" i="5"/>
  <c r="E38" i="5"/>
  <c r="E39" i="5"/>
  <c r="D24" i="5"/>
  <c r="D26" i="5"/>
  <c r="D28" i="5"/>
  <c r="D27" i="5"/>
  <c r="D53" i="3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D25" i="5"/>
  <c r="D26" i="3"/>
  <c r="E26" i="3"/>
  <c r="D33" i="3"/>
  <c r="E33" i="3"/>
  <c r="N28" i="6"/>
  <c r="AB28" i="6" s="1"/>
  <c r="AC28" i="6" s="1"/>
  <c r="E30" i="3"/>
  <c r="E37" i="3"/>
  <c r="E34" i="3"/>
  <c r="G10" i="6"/>
  <c r="E28" i="3"/>
  <c r="E39" i="3"/>
  <c r="E27" i="3"/>
  <c r="E29" i="3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G20" i="6"/>
  <c r="G13" i="6"/>
  <c r="G12" i="6"/>
  <c r="E31" i="3"/>
  <c r="E32" i="3"/>
  <c r="I35" i="6"/>
  <c r="L3" i="8" l="1"/>
  <c r="M3" i="8" s="1"/>
  <c r="O3" i="8" s="1"/>
  <c r="L4" i="8"/>
  <c r="D50" i="5"/>
  <c r="F50" i="5" s="1"/>
  <c r="D47" i="5"/>
  <c r="F47" i="5" s="1"/>
  <c r="D49" i="5"/>
  <c r="F49" i="5" s="1"/>
  <c r="D29" i="5"/>
  <c r="E28" i="5" s="1"/>
  <c r="E29" i="5" s="1"/>
  <c r="E35" i="5"/>
  <c r="E37" i="5"/>
  <c r="E33" i="5"/>
  <c r="E26" i="5"/>
  <c r="E27" i="5" s="1"/>
  <c r="E24" i="5"/>
  <c r="E25" i="5" s="1"/>
  <c r="E42" i="3"/>
  <c r="E38" i="3"/>
  <c r="P13" i="6"/>
  <c r="AB27" i="6"/>
  <c r="AC27" i="6" s="1"/>
  <c r="P17" i="6"/>
  <c r="I36" i="6"/>
  <c r="AB30" i="6"/>
  <c r="AC30" i="6" s="1"/>
  <c r="AB29" i="6"/>
  <c r="AC29" i="6" s="1"/>
  <c r="Q20" i="6"/>
  <c r="P12" i="6"/>
  <c r="P11" i="6"/>
  <c r="I37" i="6"/>
  <c r="Q21" i="6"/>
  <c r="P14" i="6"/>
  <c r="Q19" i="6"/>
  <c r="P10" i="6"/>
  <c r="I34" i="6"/>
  <c r="Q22" i="6"/>
  <c r="P16" i="6"/>
  <c r="P15" i="6"/>
  <c r="N4" i="8" l="1"/>
  <c r="M4" i="8"/>
  <c r="O4" i="8" s="1"/>
  <c r="N3" i="8"/>
  <c r="D48" i="5"/>
  <c r="F48" i="5" s="1"/>
  <c r="D46" i="5"/>
  <c r="F46" i="5" s="1"/>
  <c r="D44" i="5"/>
  <c r="F44" i="5" s="1"/>
  <c r="H39" i="5"/>
  <c r="I39" i="5" s="1"/>
  <c r="J39" i="5" s="1"/>
  <c r="E40" i="5"/>
  <c r="H37" i="5"/>
  <c r="H35" i="5"/>
  <c r="F26" i="5"/>
  <c r="H26" i="5" s="1"/>
  <c r="H33" i="5"/>
  <c r="I33" i="5" s="1"/>
  <c r="E34" i="5"/>
  <c r="F28" i="5"/>
  <c r="H28" i="5" s="1"/>
  <c r="C49" i="6"/>
  <c r="F27" i="5"/>
  <c r="F24" i="5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H40" i="5" l="1"/>
  <c r="I40" i="5" s="1"/>
  <c r="D45" i="5"/>
  <c r="F45" i="5" s="1"/>
  <c r="D51" i="5"/>
  <c r="F51" i="5" s="1"/>
  <c r="H36" i="5"/>
  <c r="I36" i="5" s="1"/>
  <c r="I35" i="5"/>
  <c r="H38" i="5"/>
  <c r="I38" i="5" s="1"/>
  <c r="J38" i="5" s="1"/>
  <c r="I37" i="5"/>
  <c r="J37" i="5" s="1"/>
  <c r="G26" i="5"/>
  <c r="I26" i="5" s="1"/>
  <c r="J35" i="5"/>
  <c r="H34" i="5"/>
  <c r="I34" i="5" s="1"/>
  <c r="J33" i="5"/>
  <c r="G28" i="5"/>
  <c r="I28" i="5" s="1"/>
  <c r="F29" i="5"/>
  <c r="H29" i="5" s="1"/>
  <c r="J40" i="5"/>
  <c r="F25" i="5"/>
  <c r="H27" i="5"/>
  <c r="G27" i="5"/>
  <c r="I27" i="5" s="1"/>
  <c r="H24" i="5"/>
  <c r="G24" i="5"/>
  <c r="I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F54" i="6"/>
  <c r="U107" i="6"/>
  <c r="F94" i="6" s="1"/>
  <c r="U108" i="6"/>
  <c r="D43" i="6"/>
  <c r="D48" i="6"/>
  <c r="F61" i="6" s="1"/>
  <c r="U105" i="6"/>
  <c r="F92" i="6" s="1"/>
  <c r="D49" i="6"/>
  <c r="J34" i="5" l="1"/>
  <c r="G29" i="5"/>
  <c r="I29" i="5" s="1"/>
  <c r="H25" i="5"/>
  <c r="G25" i="5"/>
  <c r="I25" i="5" s="1"/>
  <c r="J36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72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66" i="6"/>
  <c r="O84" i="6" s="1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115" i="6" l="1"/>
  <c r="O104" i="6"/>
  <c r="O122" i="6" s="1"/>
  <c r="O109" i="6"/>
  <c r="O101" i="6"/>
  <c r="O119" i="6" s="1"/>
  <c r="O78" i="6"/>
  <c r="O67" i="6"/>
  <c r="O85" i="6" s="1"/>
  <c r="D22" i="5"/>
  <c r="D23" i="5"/>
  <c r="E22" i="5" l="1"/>
  <c r="E23" i="5" s="1"/>
  <c r="F23" i="5" s="1"/>
  <c r="H22" i="5" l="1"/>
  <c r="G22" i="5" l="1"/>
  <c r="I22" i="5" s="1"/>
  <c r="G23" i="5"/>
  <c r="I23" i="5" s="1"/>
  <c r="H23" i="5"/>
  <c r="G50" i="5"/>
  <c r="H50" i="5" s="1"/>
  <c r="G46" i="5"/>
  <c r="G48" i="5"/>
  <c r="H48" i="5" s="1"/>
  <c r="G44" i="5"/>
  <c r="H44" i="5" s="1"/>
  <c r="H46" i="5" l="1"/>
  <c r="I46" i="5" s="1"/>
  <c r="G47" i="5"/>
  <c r="G49" i="5"/>
  <c r="I48" i="5"/>
  <c r="G45" i="5"/>
  <c r="I44" i="5"/>
  <c r="G51" i="5"/>
  <c r="I50" i="5"/>
  <c r="H47" i="5" l="1"/>
  <c r="I47" i="5" s="1"/>
  <c r="H51" i="5"/>
  <c r="I51" i="5" s="1"/>
  <c r="H49" i="5"/>
  <c r="I49" i="5" s="1"/>
  <c r="H45" i="5"/>
  <c r="I45" i="5" s="1"/>
</calcChain>
</file>

<file path=xl/sharedStrings.xml><?xml version="1.0" encoding="utf-8"?>
<sst xmlns="http://schemas.openxmlformats.org/spreadsheetml/2006/main" count="1333" uniqueCount="229">
  <si>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</si>
  <si>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</si>
  <si>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</si>
  <si>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</si>
  <si>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</si>
  <si>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</si>
  <si>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</si>
  <si>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</si>
  <si>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</si>
  <si>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</si>
  <si>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</si>
  <si>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</si>
  <si>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</si>
  <si>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</si>
  <si>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</si>
  <si>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</si>
  <si>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</si>
  <si>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</si>
  <si>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</si>
  <si>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</si>
  <si>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</si>
  <si>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</si>
  <si>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</si>
  <si>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</si>
  <si>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</si>
  <si>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</si>
  <si>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</si>
  <si>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</si>
  <si>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</si>
  <si>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</si>
  <si>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</si>
  <si>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</si>
  <si>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</si>
  <si>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</si>
  <si>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</si>
  <si>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</si>
  <si>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</si>
  <si>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</si>
  <si>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</si>
  <si>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</si>
  <si>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</si>
  <si>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</si>
  <si>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</si>
  <si>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</si>
  <si>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</si>
  <si>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</si>
  <si>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</si>
  <si>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</si>
  <si>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</si>
  <si>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</si>
  <si>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</si>
  <si>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</si>
  <si>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</si>
  <si>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</si>
  <si>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</si>
  <si>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</si>
  <si>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</si>
  <si>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</si>
  <si>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</si>
  <si>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</si>
  <si>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</si>
  <si>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</si>
  <si>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</si>
  <si>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</si>
  <si>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</si>
  <si>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</si>
  <si>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</si>
  <si>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</si>
  <si>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</si>
  <si>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</si>
  <si>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</si>
  <si>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</si>
  <si>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</si>
  <si>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</si>
  <si>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</si>
  <si>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</si>
  <si>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</si>
  <si>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</si>
  <si>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</si>
  <si>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</si>
  <si>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</si>
  <si>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</si>
  <si>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</si>
  <si>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</si>
  <si>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</si>
  <si>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</si>
  <si>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</si>
  <si>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</si>
  <si>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</si>
  <si>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</si>
  <si>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</si>
  <si>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</si>
  <si>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</si>
  <si>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</si>
  <si>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</si>
  <si>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</si>
  <si>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</si>
  <si>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</si>
  <si>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</si>
  <si>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</si>
  <si>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</si>
  <si>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</si>
  <si>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</si>
  <si>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</si>
  <si>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</si>
  <si>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</si>
  <si>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</si>
  <si>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</si>
  <si>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</si>
  <si>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</si>
  <si>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</si>
  <si>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</si>
  <si>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</si>
  <si>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</si>
  <si>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</si>
  <si>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</si>
  <si>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</si>
  <si>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</si>
  <si>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</si>
  <si>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</si>
  <si>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</si>
  <si>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</si>
  <si>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</si>
  <si>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</si>
  <si>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</si>
  <si>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</si>
  <si>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</si>
  <si>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</si>
  <si>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</si>
  <si>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</si>
  <si>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</si>
  <si>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</si>
  <si>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</si>
  <si>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</si>
  <si>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</si>
  <si>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</si>
  <si>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</si>
  <si>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</si>
  <si>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</si>
  <si>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</si>
  <si>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</si>
  <si>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</si>
  <si>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</si>
  <si>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</si>
  <si>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</si>
  <si>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</si>
  <si>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</si>
  <si>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</si>
  <si>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</si>
  <si>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</si>
  <si>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</si>
  <si>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</si>
  <si>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</si>
  <si>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</si>
  <si>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</si>
  <si>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</si>
  <si>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</si>
  <si>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</si>
  <si>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</si>
  <si>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</si>
  <si>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</si>
  <si>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</si>
  <si>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</si>
  <si>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</si>
  <si>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</si>
  <si>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</si>
  <si>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</si>
  <si>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</si>
  <si>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</si>
  <si>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</si>
  <si>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</si>
  <si>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</si>
  <si>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</si>
  <si>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</si>
  <si>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</si>
  <si>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</si>
  <si>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</si>
  <si>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</si>
  <si>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</si>
  <si>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</si>
  <si>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</si>
  <si>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</si>
  <si>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</si>
  <si>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</si>
  <si>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</si>
  <si>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</si>
  <si>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</si>
  <si>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</si>
  <si>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</si>
  <si>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</si>
  <si>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</si>
  <si>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</si>
  <si>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</si>
  <si>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</si>
  <si>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</si>
  <si>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</si>
  <si>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</si>
  <si>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</si>
  <si>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</si>
  <si>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</si>
  <si>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</si>
  <si>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</si>
  <si>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</si>
  <si>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</si>
  <si>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</si>
  <si>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</si>
  <si>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</si>
  <si>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</si>
  <si>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Tasso di arrivo (organi/giorno)</t>
  </si>
  <si>
    <t>ORGANI - ARRIVI - (2010-2019)</t>
  </si>
  <si>
    <t>PAZIENTI - DECESSI - (2010-2019)</t>
  </si>
  <si>
    <t>PAZIENTI - ABBANDONI - (2010-2019)</t>
  </si>
  <si>
    <t>PAZIENTI - TRAPIANTI - 2019</t>
  </si>
  <si>
    <t>Matching</t>
  </si>
  <si>
    <t>max(o_IAT, p_IAT)</t>
  </si>
  <si>
    <t>N</t>
  </si>
  <si>
    <t>Ns</t>
  </si>
  <si>
    <t>Nq</t>
  </si>
  <si>
    <t>ρ(k)</t>
  </si>
  <si>
    <t>ρ</t>
  </si>
  <si>
    <t>Matching after 10 years - no more arrivals</t>
  </si>
  <si>
    <t>Y_excess</t>
  </si>
  <si>
    <t>Node 0</t>
  </si>
  <si>
    <t>λ</t>
  </si>
  <si>
    <t>p_loss</t>
  </si>
  <si>
    <t>λ'</t>
  </si>
  <si>
    <t>μ</t>
  </si>
  <si>
    <t>ρ'</t>
  </si>
  <si>
    <t>Matching per day during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</si>
</sst>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2" xfId="0" applyNumberFormat="1" applyBorder="1"/>
    <xf numFmtId="1" fontId="0" fillId="0" borderId="20" xfId="0" applyNumberFormat="1" applyBorder="1"/>
    <xf numFmtId="1" fontId="0" fillId="0" borderId="13" xfId="0" applyNumberFormat="1" applyBorder="1"/>
    <xf numFmtId="1" fontId="0" fillId="0" borderId="2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21" xfId="0" applyNumberFormat="1" applyBorder="1"/>
    <xf numFmtId="1" fontId="0" fillId="0" borderId="16" xfId="0" applyNumberFormat="1" applyBorder="1"/>
    <xf numFmtId="0" fontId="0" fillId="0" borderId="21" xfId="0" applyBorder="1"/>
    <xf numFmtId="2" fontId="0" fillId="0" borderId="14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4" xfId="0" applyNumberFormat="1" applyBorder="1"/>
    <xf numFmtId="164" fontId="0" fillId="0" borderId="16" xfId="0" applyNumberFormat="1" applyBorder="1"/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0" fillId="0" borderId="21" xfId="0" applyNumberFormat="1" applyBorder="1"/>
    <xf numFmtId="164" fontId="6" fillId="0" borderId="14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164" fontId="0" fillId="0" borderId="15" xfId="0" applyNumberFormat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0" fontId="0" fillId="0" borderId="20" xfId="0" applyBorder="1"/>
    <xf numFmtId="0" fontId="0" fillId="0" borderId="13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0" fillId="0" borderId="2" xfId="0" applyNumberFormat="1" applyBorder="1"/>
    <xf numFmtId="167" fontId="0" fillId="0" borderId="15" xfId="0" applyNumberFormat="1" applyBorder="1"/>
    <xf numFmtId="0" fontId="2" fillId="0" borderId="6" xfId="0" applyFont="1" applyBorder="1" applyAlignment="1">
      <alignment horizontal="center"/>
    </xf>
    <xf numFmtId="164" fontId="0" fillId="0" borderId="25" xfId="0" applyNumberFormat="1" applyBorder="1"/>
    <xf numFmtId="164" fontId="0" fillId="0" borderId="20" xfId="0" applyNumberFormat="1" applyBorder="1"/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17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/>
    <xf numFmtId="0" fontId="0" fillId="0" borderId="5" xfId="0" applyBorder="1" applyAlignment="1"/>
    <xf numFmtId="0" fontId="0" fillId="10" borderId="7" xfId="0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vertical="center"/>
    </xf>
    <xf numFmtId="165" fontId="0" fillId="0" borderId="4" xfId="0" applyNumberFormat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topLeftCell="A28" zoomScaleNormal="100" workbookViewId="0">
      <selection activeCell="T19" sqref="T19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N1" s="94" t="s">
        <v>1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5" x14ac:dyDescent="0.25">
      <c r="A2" s="40" t="s">
        <v>2</v>
      </c>
      <c r="B2" s="41" t="s">
        <v>3</v>
      </c>
      <c r="C2" s="80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2" t="s">
        <v>13</v>
      </c>
      <c r="N2" s="40" t="s">
        <v>2</v>
      </c>
      <c r="O2" s="41" t="s">
        <v>14</v>
      </c>
      <c r="P2" s="42" t="s">
        <v>4</v>
      </c>
      <c r="Q2" s="42" t="s">
        <v>5</v>
      </c>
      <c r="R2" s="42" t="s">
        <v>6</v>
      </c>
      <c r="S2" s="42" t="s">
        <v>7</v>
      </c>
      <c r="T2" s="42" t="s">
        <v>8</v>
      </c>
      <c r="U2" s="42" t="s">
        <v>9</v>
      </c>
      <c r="V2" s="42" t="s">
        <v>10</v>
      </c>
      <c r="W2" s="42" t="s">
        <v>11</v>
      </c>
      <c r="X2" s="42" t="s">
        <v>12</v>
      </c>
      <c r="Y2" s="41" t="s">
        <v>13</v>
      </c>
    </row>
    <row r="3" spans="1:25" x14ac:dyDescent="0.25">
      <c r="A3" s="36" t="s">
        <v>15</v>
      </c>
      <c r="B3" t="s">
        <v>16</v>
      </c>
      <c r="C3" s="43">
        <v>41531</v>
      </c>
      <c r="D3" s="44">
        <v>39163</v>
      </c>
      <c r="E3" s="44">
        <v>35899</v>
      </c>
      <c r="F3" s="44">
        <v>35763</v>
      </c>
      <c r="G3" s="44">
        <v>35379</v>
      </c>
      <c r="H3" s="44">
        <v>36623</v>
      </c>
      <c r="I3" s="44">
        <v>36874</v>
      </c>
      <c r="J3" s="44">
        <v>35260</v>
      </c>
      <c r="K3" s="44">
        <v>33936</v>
      </c>
      <c r="L3" s="45">
        <v>34766</v>
      </c>
      <c r="N3" s="36" t="s">
        <v>15</v>
      </c>
      <c r="O3" s="37" t="s">
        <v>17</v>
      </c>
      <c r="P3" s="43">
        <v>18018</v>
      </c>
      <c r="Q3" s="44">
        <v>16310</v>
      </c>
      <c r="R3" s="44">
        <v>15212</v>
      </c>
      <c r="S3" s="44">
        <v>14745</v>
      </c>
      <c r="T3" s="44">
        <v>13878</v>
      </c>
      <c r="U3" s="44">
        <v>13302</v>
      </c>
      <c r="V3" s="44">
        <v>13282</v>
      </c>
      <c r="W3" s="44">
        <v>13040</v>
      </c>
      <c r="X3" s="44">
        <v>13207</v>
      </c>
      <c r="Y3" s="45">
        <v>13519</v>
      </c>
    </row>
    <row r="4" spans="1:25" x14ac:dyDescent="0.25">
      <c r="A4" s="36"/>
      <c r="B4" t="s">
        <v>18</v>
      </c>
      <c r="C4" s="46">
        <v>41</v>
      </c>
      <c r="D4" s="83">
        <v>37</v>
      </c>
      <c r="E4" s="83">
        <v>19</v>
      </c>
      <c r="F4" s="83">
        <v>45</v>
      </c>
      <c r="G4" s="83">
        <v>46</v>
      </c>
      <c r="H4" s="83">
        <v>36</v>
      </c>
      <c r="I4" s="83">
        <v>29</v>
      </c>
      <c r="J4" s="83">
        <v>28</v>
      </c>
      <c r="K4" s="83">
        <v>29</v>
      </c>
      <c r="L4" s="47">
        <v>34</v>
      </c>
      <c r="N4" s="36"/>
      <c r="O4" s="37" t="s">
        <v>19</v>
      </c>
      <c r="P4" s="46">
        <v>11152</v>
      </c>
      <c r="Q4" s="83">
        <v>9867</v>
      </c>
      <c r="R4" s="83">
        <v>9401</v>
      </c>
      <c r="S4" s="83">
        <v>9116</v>
      </c>
      <c r="T4" s="83">
        <v>8250</v>
      </c>
      <c r="U4" s="83">
        <v>7763</v>
      </c>
      <c r="V4" s="83">
        <v>7548</v>
      </c>
      <c r="W4" s="83">
        <v>7421</v>
      </c>
      <c r="X4" s="83">
        <v>7434</v>
      </c>
      <c r="Y4" s="47">
        <v>7241</v>
      </c>
    </row>
    <row r="5" spans="1:25" x14ac:dyDescent="0.25">
      <c r="A5" s="36"/>
      <c r="B5" t="s">
        <v>20</v>
      </c>
      <c r="C5" s="46">
        <v>31145</v>
      </c>
      <c r="D5" s="83">
        <v>29735</v>
      </c>
      <c r="E5" s="83">
        <v>27913</v>
      </c>
      <c r="F5" s="83">
        <v>27644</v>
      </c>
      <c r="G5" s="83">
        <v>26395</v>
      </c>
      <c r="H5" s="83">
        <v>25197</v>
      </c>
      <c r="I5" s="83">
        <v>25120</v>
      </c>
      <c r="J5" s="83">
        <v>24125</v>
      </c>
      <c r="K5" s="83">
        <v>23502</v>
      </c>
      <c r="L5" s="47">
        <v>24367</v>
      </c>
      <c r="N5" s="36"/>
      <c r="O5" s="37" t="s">
        <v>21</v>
      </c>
      <c r="P5" s="46">
        <v>6866</v>
      </c>
      <c r="Q5" s="83">
        <v>6443</v>
      </c>
      <c r="R5" s="83">
        <v>5811</v>
      </c>
      <c r="S5" s="83">
        <v>5629</v>
      </c>
      <c r="T5" s="83">
        <v>5628</v>
      </c>
      <c r="U5" s="83">
        <v>5539</v>
      </c>
      <c r="V5" s="83">
        <v>5734</v>
      </c>
      <c r="W5" s="83">
        <v>5619</v>
      </c>
      <c r="X5" s="83">
        <v>5773</v>
      </c>
      <c r="Y5" s="47">
        <v>6278</v>
      </c>
    </row>
    <row r="6" spans="1:25" x14ac:dyDescent="0.25">
      <c r="A6" s="36"/>
      <c r="B6" t="s">
        <v>22</v>
      </c>
      <c r="C6" s="46">
        <v>10345</v>
      </c>
      <c r="D6" s="83">
        <v>9391</v>
      </c>
      <c r="E6" s="83">
        <v>7967</v>
      </c>
      <c r="F6" s="83">
        <v>8074</v>
      </c>
      <c r="G6" s="83">
        <v>8938</v>
      </c>
      <c r="H6" s="83">
        <v>11390</v>
      </c>
      <c r="I6" s="83">
        <v>11725</v>
      </c>
      <c r="J6" s="83">
        <v>11107</v>
      </c>
      <c r="K6" s="83">
        <v>10405</v>
      </c>
      <c r="L6" s="47">
        <v>10365</v>
      </c>
      <c r="N6" s="36" t="s">
        <v>23</v>
      </c>
      <c r="O6" s="37" t="s">
        <v>17</v>
      </c>
      <c r="P6" s="46">
        <v>9625</v>
      </c>
      <c r="Q6" s="83">
        <v>8673</v>
      </c>
      <c r="R6" s="83">
        <v>8159</v>
      </c>
      <c r="S6" s="83">
        <v>7956</v>
      </c>
      <c r="T6" s="83">
        <v>7513</v>
      </c>
      <c r="U6" s="83">
        <v>7156</v>
      </c>
      <c r="V6" s="83">
        <v>7211</v>
      </c>
      <c r="W6" s="83">
        <v>7064</v>
      </c>
      <c r="X6" s="83">
        <v>7244</v>
      </c>
      <c r="Y6" s="47">
        <v>7431</v>
      </c>
    </row>
    <row r="7" spans="1:25" x14ac:dyDescent="0.25">
      <c r="A7" s="36" t="s">
        <v>23</v>
      </c>
      <c r="B7" t="s">
        <v>16</v>
      </c>
      <c r="C7" s="46">
        <v>20338</v>
      </c>
      <c r="D7" s="83">
        <v>19143</v>
      </c>
      <c r="E7" s="83">
        <v>17349</v>
      </c>
      <c r="F7" s="83">
        <v>17638</v>
      </c>
      <c r="G7" s="83">
        <v>17152</v>
      </c>
      <c r="H7" s="83">
        <v>17804</v>
      </c>
      <c r="I7" s="83">
        <v>17857</v>
      </c>
      <c r="J7" s="83">
        <v>17168</v>
      </c>
      <c r="K7" s="83">
        <v>16415</v>
      </c>
      <c r="L7" s="47">
        <v>16854</v>
      </c>
      <c r="N7" s="36"/>
      <c r="O7" s="37" t="s">
        <v>19</v>
      </c>
      <c r="P7" s="46">
        <v>5322</v>
      </c>
      <c r="Q7" s="83">
        <v>4665</v>
      </c>
      <c r="R7" s="83">
        <v>4504</v>
      </c>
      <c r="S7" s="83">
        <v>4363</v>
      </c>
      <c r="T7" s="83">
        <v>3977</v>
      </c>
      <c r="U7" s="83">
        <v>3683</v>
      </c>
      <c r="V7" s="83">
        <v>3614</v>
      </c>
      <c r="W7" s="83">
        <v>3463</v>
      </c>
      <c r="X7" s="83">
        <v>3566</v>
      </c>
      <c r="Y7" s="47">
        <v>3449</v>
      </c>
    </row>
    <row r="8" spans="1:25" x14ac:dyDescent="0.25">
      <c r="A8" s="36"/>
      <c r="B8" t="s">
        <v>18</v>
      </c>
      <c r="C8" s="46">
        <v>19</v>
      </c>
      <c r="D8" s="83">
        <v>17</v>
      </c>
      <c r="E8" s="83">
        <v>10</v>
      </c>
      <c r="F8" s="83">
        <v>23</v>
      </c>
      <c r="G8" s="83">
        <v>31</v>
      </c>
      <c r="H8" s="83">
        <v>14</v>
      </c>
      <c r="I8" s="83">
        <v>13</v>
      </c>
      <c r="J8" s="83">
        <v>20</v>
      </c>
      <c r="K8" s="83">
        <v>16</v>
      </c>
      <c r="L8" s="47">
        <v>16</v>
      </c>
      <c r="N8" s="36"/>
      <c r="O8" s="37" t="s">
        <v>21</v>
      </c>
      <c r="P8" s="46">
        <v>4303</v>
      </c>
      <c r="Q8" s="83">
        <v>4008</v>
      </c>
      <c r="R8" s="83">
        <v>3655</v>
      </c>
      <c r="S8" s="83">
        <v>3593</v>
      </c>
      <c r="T8" s="83">
        <v>3536</v>
      </c>
      <c r="U8" s="83">
        <v>3473</v>
      </c>
      <c r="V8" s="83">
        <v>3597</v>
      </c>
      <c r="W8" s="83">
        <v>3601</v>
      </c>
      <c r="X8" s="83">
        <v>3678</v>
      </c>
      <c r="Y8" s="47">
        <v>3982</v>
      </c>
    </row>
    <row r="9" spans="1:25" x14ac:dyDescent="0.25">
      <c r="A9" s="36"/>
      <c r="B9" t="s">
        <v>20</v>
      </c>
      <c r="C9" s="46">
        <v>15382</v>
      </c>
      <c r="D9" s="83">
        <v>14662</v>
      </c>
      <c r="E9" s="83">
        <v>13658</v>
      </c>
      <c r="F9" s="83">
        <v>13652</v>
      </c>
      <c r="G9" s="83">
        <v>12810</v>
      </c>
      <c r="H9" s="83">
        <v>12356</v>
      </c>
      <c r="I9" s="83">
        <v>12164</v>
      </c>
      <c r="J9" s="83">
        <v>11814</v>
      </c>
      <c r="K9" s="83">
        <v>11454</v>
      </c>
      <c r="L9" s="47">
        <v>11807</v>
      </c>
      <c r="N9" s="36" t="s">
        <v>24</v>
      </c>
      <c r="O9" s="37" t="s">
        <v>17</v>
      </c>
      <c r="P9" s="46">
        <v>6016</v>
      </c>
      <c r="Q9" s="83">
        <v>5440</v>
      </c>
      <c r="R9" s="83">
        <v>5139</v>
      </c>
      <c r="S9" s="83">
        <v>4934</v>
      </c>
      <c r="T9" s="83">
        <v>4597</v>
      </c>
      <c r="U9" s="83">
        <v>4399</v>
      </c>
      <c r="V9" s="83">
        <v>4392</v>
      </c>
      <c r="W9" s="83">
        <v>4282</v>
      </c>
      <c r="X9" s="83">
        <v>4257</v>
      </c>
      <c r="Y9" s="47">
        <v>4328</v>
      </c>
    </row>
    <row r="10" spans="1:25" x14ac:dyDescent="0.25">
      <c r="A10" s="36"/>
      <c r="B10" t="s">
        <v>22</v>
      </c>
      <c r="C10" s="46">
        <v>4937</v>
      </c>
      <c r="D10" s="83">
        <v>4464</v>
      </c>
      <c r="E10" s="83">
        <v>3681</v>
      </c>
      <c r="F10" s="83">
        <v>3963</v>
      </c>
      <c r="G10" s="83">
        <v>4311</v>
      </c>
      <c r="H10" s="83">
        <v>5434</v>
      </c>
      <c r="I10" s="83">
        <v>5680</v>
      </c>
      <c r="J10" s="83">
        <v>5334</v>
      </c>
      <c r="K10" s="83">
        <v>4945</v>
      </c>
      <c r="L10" s="47">
        <v>5031</v>
      </c>
      <c r="N10" s="36"/>
      <c r="O10" s="37" t="s">
        <v>19</v>
      </c>
      <c r="P10" s="46">
        <v>4127</v>
      </c>
      <c r="Q10" s="83">
        <v>3635</v>
      </c>
      <c r="R10" s="83">
        <v>3516</v>
      </c>
      <c r="S10" s="83">
        <v>3403</v>
      </c>
      <c r="T10" s="83">
        <v>3020</v>
      </c>
      <c r="U10" s="83">
        <v>2882</v>
      </c>
      <c r="V10" s="83">
        <v>2815</v>
      </c>
      <c r="W10" s="83">
        <v>2766</v>
      </c>
      <c r="X10" s="83">
        <v>2715</v>
      </c>
      <c r="Y10" s="47">
        <v>2638</v>
      </c>
    </row>
    <row r="11" spans="1:25" x14ac:dyDescent="0.25">
      <c r="A11" s="36" t="s">
        <v>24</v>
      </c>
      <c r="B11" t="s">
        <v>16</v>
      </c>
      <c r="C11" s="46">
        <v>13454</v>
      </c>
      <c r="D11" s="83">
        <v>12604</v>
      </c>
      <c r="E11" s="83">
        <v>11814</v>
      </c>
      <c r="F11" s="83">
        <v>11601</v>
      </c>
      <c r="G11" s="83">
        <v>11585</v>
      </c>
      <c r="H11" s="83">
        <v>11951</v>
      </c>
      <c r="I11" s="83">
        <v>12077</v>
      </c>
      <c r="J11" s="83">
        <v>11576</v>
      </c>
      <c r="K11" s="83">
        <v>11357</v>
      </c>
      <c r="L11" s="47">
        <v>11499</v>
      </c>
      <c r="N11" s="36"/>
      <c r="O11" s="37" t="s">
        <v>21</v>
      </c>
      <c r="P11" s="46">
        <v>1889</v>
      </c>
      <c r="Q11" s="83">
        <v>1805</v>
      </c>
      <c r="R11" s="83">
        <v>1623</v>
      </c>
      <c r="S11" s="83">
        <v>1531</v>
      </c>
      <c r="T11" s="83">
        <v>1577</v>
      </c>
      <c r="U11" s="83">
        <v>1517</v>
      </c>
      <c r="V11" s="83">
        <v>1577</v>
      </c>
      <c r="W11" s="83">
        <v>1516</v>
      </c>
      <c r="X11" s="83">
        <v>1542</v>
      </c>
      <c r="Y11" s="47">
        <v>1690</v>
      </c>
    </row>
    <row r="12" spans="1:25" x14ac:dyDescent="0.25">
      <c r="A12" s="36"/>
      <c r="B12" t="s">
        <v>18</v>
      </c>
      <c r="C12" s="46">
        <v>10</v>
      </c>
      <c r="D12" s="83">
        <v>10</v>
      </c>
      <c r="E12" s="83">
        <v>8</v>
      </c>
      <c r="F12" s="83">
        <v>12</v>
      </c>
      <c r="G12" s="83">
        <v>8</v>
      </c>
      <c r="H12" s="83">
        <v>16</v>
      </c>
      <c r="I12" s="83">
        <v>10</v>
      </c>
      <c r="J12" s="83">
        <v>7</v>
      </c>
      <c r="K12" s="83">
        <v>7</v>
      </c>
      <c r="L12" s="47">
        <v>12</v>
      </c>
      <c r="N12" s="36" t="s">
        <v>25</v>
      </c>
      <c r="O12" s="37" t="s">
        <v>17</v>
      </c>
      <c r="P12" s="46">
        <v>1875</v>
      </c>
      <c r="Q12" s="83">
        <v>1783</v>
      </c>
      <c r="R12" s="83">
        <v>1514</v>
      </c>
      <c r="S12" s="83">
        <v>1500</v>
      </c>
      <c r="T12" s="83">
        <v>1398</v>
      </c>
      <c r="U12" s="83">
        <v>1400</v>
      </c>
      <c r="V12" s="83">
        <v>1361</v>
      </c>
      <c r="W12" s="83">
        <v>1362</v>
      </c>
      <c r="X12" s="83">
        <v>1374</v>
      </c>
      <c r="Y12" s="47">
        <v>1442</v>
      </c>
    </row>
    <row r="13" spans="1:25" x14ac:dyDescent="0.25">
      <c r="A13" s="36"/>
      <c r="B13" t="s">
        <v>20</v>
      </c>
      <c r="C13" s="46">
        <v>9915</v>
      </c>
      <c r="D13" s="83">
        <v>9378</v>
      </c>
      <c r="E13" s="83">
        <v>9046</v>
      </c>
      <c r="F13" s="83">
        <v>8850</v>
      </c>
      <c r="G13" s="83">
        <v>8677</v>
      </c>
      <c r="H13" s="83">
        <v>8153</v>
      </c>
      <c r="I13" s="83">
        <v>8253</v>
      </c>
      <c r="J13" s="83">
        <v>7919</v>
      </c>
      <c r="K13" s="83">
        <v>7809</v>
      </c>
      <c r="L13" s="47">
        <v>8128</v>
      </c>
      <c r="N13" s="36"/>
      <c r="O13" s="37" t="s">
        <v>19</v>
      </c>
      <c r="P13" s="46">
        <v>1313</v>
      </c>
      <c r="Q13" s="83">
        <v>1221</v>
      </c>
      <c r="R13" s="83">
        <v>1058</v>
      </c>
      <c r="S13" s="83">
        <v>1072</v>
      </c>
      <c r="T13" s="83">
        <v>950</v>
      </c>
      <c r="U13" s="83">
        <v>929</v>
      </c>
      <c r="V13" s="83">
        <v>874</v>
      </c>
      <c r="W13" s="83">
        <v>935</v>
      </c>
      <c r="X13" s="83">
        <v>889</v>
      </c>
      <c r="Y13" s="47">
        <v>896</v>
      </c>
    </row>
    <row r="14" spans="1:25" x14ac:dyDescent="0.25">
      <c r="A14" s="36"/>
      <c r="B14" t="s">
        <v>22</v>
      </c>
      <c r="C14" s="46">
        <v>3529</v>
      </c>
      <c r="D14" s="83">
        <v>3216</v>
      </c>
      <c r="E14" s="83">
        <v>2760</v>
      </c>
      <c r="F14" s="83">
        <v>2739</v>
      </c>
      <c r="G14" s="83">
        <v>2900</v>
      </c>
      <c r="H14" s="83">
        <v>3782</v>
      </c>
      <c r="I14" s="83">
        <v>3814</v>
      </c>
      <c r="J14" s="83">
        <v>3650</v>
      </c>
      <c r="K14" s="83">
        <v>3541</v>
      </c>
      <c r="L14" s="47">
        <v>3359</v>
      </c>
      <c r="N14" s="36"/>
      <c r="O14" s="37" t="s">
        <v>21</v>
      </c>
      <c r="P14" s="46">
        <v>562</v>
      </c>
      <c r="Q14" s="83">
        <v>562</v>
      </c>
      <c r="R14" s="83">
        <v>456</v>
      </c>
      <c r="S14" s="83">
        <v>428</v>
      </c>
      <c r="T14" s="83">
        <v>448</v>
      </c>
      <c r="U14" s="83">
        <v>471</v>
      </c>
      <c r="V14" s="83">
        <v>487</v>
      </c>
      <c r="W14" s="83">
        <v>427</v>
      </c>
      <c r="X14" s="83">
        <v>485</v>
      </c>
      <c r="Y14" s="47">
        <v>546</v>
      </c>
    </row>
    <row r="15" spans="1:25" x14ac:dyDescent="0.25">
      <c r="A15" s="36" t="s">
        <v>25</v>
      </c>
      <c r="B15" t="s">
        <v>16</v>
      </c>
      <c r="C15" s="46">
        <v>6148</v>
      </c>
      <c r="D15" s="83">
        <v>5913</v>
      </c>
      <c r="E15" s="83">
        <v>5351</v>
      </c>
      <c r="F15" s="83">
        <v>5233</v>
      </c>
      <c r="G15" s="83">
        <v>5256</v>
      </c>
      <c r="H15" s="83">
        <v>5480</v>
      </c>
      <c r="I15" s="83">
        <v>5568</v>
      </c>
      <c r="J15" s="83">
        <v>5159</v>
      </c>
      <c r="K15" s="83">
        <v>4891</v>
      </c>
      <c r="L15" s="47">
        <v>5040</v>
      </c>
      <c r="N15" s="36" t="s">
        <v>26</v>
      </c>
      <c r="O15" s="37" t="s">
        <v>17</v>
      </c>
      <c r="P15" s="46">
        <v>502</v>
      </c>
      <c r="Q15" s="83">
        <v>414</v>
      </c>
      <c r="R15" s="83">
        <v>400</v>
      </c>
      <c r="S15" s="83">
        <v>355</v>
      </c>
      <c r="T15" s="83">
        <v>370</v>
      </c>
      <c r="U15" s="83">
        <v>347</v>
      </c>
      <c r="V15" s="83">
        <v>318</v>
      </c>
      <c r="W15" s="83">
        <v>332</v>
      </c>
      <c r="X15" s="83">
        <v>332</v>
      </c>
      <c r="Y15" s="47">
        <v>318</v>
      </c>
    </row>
    <row r="16" spans="1:25" x14ac:dyDescent="0.25">
      <c r="A16" s="36"/>
      <c r="B16" t="s">
        <v>18</v>
      </c>
      <c r="C16" s="46">
        <v>10</v>
      </c>
      <c r="D16" s="83">
        <v>7</v>
      </c>
      <c r="E16" s="83">
        <v>0</v>
      </c>
      <c r="F16" s="83">
        <v>8</v>
      </c>
      <c r="G16" s="83">
        <v>5</v>
      </c>
      <c r="H16" s="83">
        <v>6</v>
      </c>
      <c r="I16" s="83">
        <v>5</v>
      </c>
      <c r="J16" s="83">
        <v>1</v>
      </c>
      <c r="K16" s="83">
        <v>3</v>
      </c>
      <c r="L16" s="47">
        <v>5</v>
      </c>
      <c r="N16" s="36"/>
      <c r="O16" s="37" t="s">
        <v>19</v>
      </c>
      <c r="P16" s="46">
        <v>390</v>
      </c>
      <c r="Q16" s="83">
        <v>346</v>
      </c>
      <c r="R16" s="83">
        <v>323</v>
      </c>
      <c r="S16" s="83">
        <v>278</v>
      </c>
      <c r="T16" s="83">
        <v>303</v>
      </c>
      <c r="U16" s="83">
        <v>269</v>
      </c>
      <c r="V16" s="83">
        <v>245</v>
      </c>
      <c r="W16" s="83">
        <v>257</v>
      </c>
      <c r="X16" s="83">
        <v>264</v>
      </c>
      <c r="Y16" s="47">
        <v>258</v>
      </c>
    </row>
    <row r="17" spans="1:25" x14ac:dyDescent="0.25">
      <c r="A17" s="36"/>
      <c r="B17" t="s">
        <v>20</v>
      </c>
      <c r="C17" s="46">
        <v>4689</v>
      </c>
      <c r="D17" s="83">
        <v>4577</v>
      </c>
      <c r="E17" s="83">
        <v>4175</v>
      </c>
      <c r="F17" s="83">
        <v>4126</v>
      </c>
      <c r="G17" s="83">
        <v>3905</v>
      </c>
      <c r="H17" s="83">
        <v>3716</v>
      </c>
      <c r="I17" s="83">
        <v>3790</v>
      </c>
      <c r="J17" s="83">
        <v>3478</v>
      </c>
      <c r="K17" s="83">
        <v>3371</v>
      </c>
      <c r="L17" s="47">
        <v>3517</v>
      </c>
      <c r="N17" s="38"/>
      <c r="O17" s="39" t="s">
        <v>21</v>
      </c>
      <c r="P17" s="48">
        <v>112</v>
      </c>
      <c r="Q17" s="49">
        <v>68</v>
      </c>
      <c r="R17" s="49">
        <v>77</v>
      </c>
      <c r="S17" s="49">
        <v>77</v>
      </c>
      <c r="T17" s="49">
        <v>67</v>
      </c>
      <c r="U17" s="49">
        <v>78</v>
      </c>
      <c r="V17" s="49">
        <v>73</v>
      </c>
      <c r="W17" s="49">
        <v>75</v>
      </c>
      <c r="X17" s="49">
        <v>68</v>
      </c>
      <c r="Y17" s="50">
        <v>60</v>
      </c>
    </row>
    <row r="18" spans="1:25" x14ac:dyDescent="0.25">
      <c r="A18" s="36"/>
      <c r="B18" t="s">
        <v>22</v>
      </c>
      <c r="C18" s="46">
        <v>1449</v>
      </c>
      <c r="D18" s="83">
        <v>1329</v>
      </c>
      <c r="E18" s="83">
        <v>1176</v>
      </c>
      <c r="F18" s="83">
        <v>1099</v>
      </c>
      <c r="G18" s="83">
        <v>1346</v>
      </c>
      <c r="H18" s="83">
        <v>1758</v>
      </c>
      <c r="I18" s="83">
        <v>1773</v>
      </c>
      <c r="J18" s="83">
        <v>1680</v>
      </c>
      <c r="K18" s="83">
        <v>1517</v>
      </c>
      <c r="L18" s="47">
        <v>1518</v>
      </c>
    </row>
    <row r="19" spans="1:25" x14ac:dyDescent="0.25">
      <c r="A19" s="36" t="s">
        <v>26</v>
      </c>
      <c r="B19" t="s">
        <v>16</v>
      </c>
      <c r="C19" s="46">
        <v>1592</v>
      </c>
      <c r="D19" s="83">
        <v>1503</v>
      </c>
      <c r="E19" s="83">
        <v>1386</v>
      </c>
      <c r="F19" s="83">
        <v>1292</v>
      </c>
      <c r="G19" s="83">
        <v>1387</v>
      </c>
      <c r="H19" s="83">
        <v>1389</v>
      </c>
      <c r="I19" s="83">
        <v>1373</v>
      </c>
      <c r="J19" s="83">
        <v>1358</v>
      </c>
      <c r="K19" s="83">
        <v>1274</v>
      </c>
      <c r="L19" s="47">
        <v>1373</v>
      </c>
    </row>
    <row r="20" spans="1:25" x14ac:dyDescent="0.25">
      <c r="A20" s="36"/>
      <c r="B20" t="s">
        <v>18</v>
      </c>
      <c r="C20" s="46">
        <v>2</v>
      </c>
      <c r="D20" s="83">
        <v>3</v>
      </c>
      <c r="E20" s="83">
        <v>1</v>
      </c>
      <c r="F20" s="83">
        <v>2</v>
      </c>
      <c r="G20" s="83">
        <v>2</v>
      </c>
      <c r="H20" s="83">
        <v>0</v>
      </c>
      <c r="I20" s="83">
        <v>1</v>
      </c>
      <c r="J20" s="83">
        <v>0</v>
      </c>
      <c r="K20" s="83">
        <v>3</v>
      </c>
      <c r="L20" s="47">
        <v>1</v>
      </c>
    </row>
    <row r="21" spans="1:25" x14ac:dyDescent="0.25">
      <c r="A21" s="36"/>
      <c r="B21" t="s">
        <v>20</v>
      </c>
      <c r="C21" s="46">
        <v>1160</v>
      </c>
      <c r="D21" s="83">
        <v>1118</v>
      </c>
      <c r="E21" s="83">
        <v>1035</v>
      </c>
      <c r="F21" s="83">
        <v>1017</v>
      </c>
      <c r="G21" s="83">
        <v>1004</v>
      </c>
      <c r="H21" s="83">
        <v>973</v>
      </c>
      <c r="I21" s="83">
        <v>914</v>
      </c>
      <c r="J21" s="83">
        <v>915</v>
      </c>
      <c r="K21" s="83">
        <v>869</v>
      </c>
      <c r="L21" s="47">
        <v>915</v>
      </c>
    </row>
    <row r="22" spans="1:25" x14ac:dyDescent="0.25">
      <c r="A22" s="38"/>
      <c r="B22" s="51" t="s">
        <v>22</v>
      </c>
      <c r="C22" s="48">
        <v>430</v>
      </c>
      <c r="D22" s="49">
        <v>382</v>
      </c>
      <c r="E22" s="49">
        <v>350</v>
      </c>
      <c r="F22" s="49">
        <v>273</v>
      </c>
      <c r="G22" s="49">
        <v>381</v>
      </c>
      <c r="H22" s="49">
        <v>416</v>
      </c>
      <c r="I22" s="49">
        <v>458</v>
      </c>
      <c r="J22" s="49">
        <v>443</v>
      </c>
      <c r="K22" s="49">
        <v>402</v>
      </c>
      <c r="L22" s="50">
        <v>457</v>
      </c>
    </row>
    <row r="24" spans="1:25" x14ac:dyDescent="0.25">
      <c r="A24" s="94" t="s">
        <v>27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N24" s="94" t="s">
        <v>28</v>
      </c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spans="1:25" x14ac:dyDescent="0.25">
      <c r="A25" s="40" t="s">
        <v>2</v>
      </c>
      <c r="B25" s="41" t="s">
        <v>29</v>
      </c>
      <c r="C25" s="40" t="s">
        <v>4</v>
      </c>
      <c r="D25" s="42" t="s">
        <v>5</v>
      </c>
      <c r="E25" s="42" t="s">
        <v>6</v>
      </c>
      <c r="F25" s="42" t="s">
        <v>7</v>
      </c>
      <c r="G25" s="42" t="s">
        <v>8</v>
      </c>
      <c r="H25" s="42" t="s">
        <v>9</v>
      </c>
      <c r="I25" s="42" t="s">
        <v>10</v>
      </c>
      <c r="J25" s="42" t="s">
        <v>11</v>
      </c>
      <c r="K25" s="42" t="s">
        <v>12</v>
      </c>
      <c r="L25" s="41" t="s">
        <v>13</v>
      </c>
      <c r="N25" s="40" t="s">
        <v>2</v>
      </c>
      <c r="O25" s="41" t="s">
        <v>3</v>
      </c>
      <c r="P25" s="40" t="s">
        <v>4</v>
      </c>
      <c r="Q25" s="42" t="s">
        <v>5</v>
      </c>
      <c r="R25" s="42" t="s">
        <v>6</v>
      </c>
      <c r="S25" s="42" t="s">
        <v>7</v>
      </c>
      <c r="T25" s="42" t="s">
        <v>8</v>
      </c>
      <c r="U25" s="42" t="s">
        <v>9</v>
      </c>
      <c r="V25" s="42" t="s">
        <v>10</v>
      </c>
      <c r="W25" s="42" t="s">
        <v>11</v>
      </c>
      <c r="X25" s="42" t="s">
        <v>12</v>
      </c>
      <c r="Y25" s="41" t="s">
        <v>13</v>
      </c>
    </row>
    <row r="26" spans="1:25" x14ac:dyDescent="0.25">
      <c r="A26" s="80" t="s">
        <v>15</v>
      </c>
      <c r="B26" s="82" t="s">
        <v>16</v>
      </c>
      <c r="C26" s="80">
        <v>3954</v>
      </c>
      <c r="D26" s="81">
        <v>4163</v>
      </c>
      <c r="E26" s="81">
        <v>4378</v>
      </c>
      <c r="F26" s="81">
        <v>4782</v>
      </c>
      <c r="G26" s="81">
        <v>4863</v>
      </c>
      <c r="H26" s="81">
        <v>4835</v>
      </c>
      <c r="I26" s="81">
        <v>4676</v>
      </c>
      <c r="J26" s="81">
        <v>4701</v>
      </c>
      <c r="K26" s="81">
        <v>4866</v>
      </c>
      <c r="L26" s="82">
        <v>4750</v>
      </c>
      <c r="N26" s="36" t="s">
        <v>15</v>
      </c>
      <c r="O26" s="37" t="s">
        <v>16</v>
      </c>
      <c r="P26" s="80">
        <v>39385</v>
      </c>
      <c r="Q26" s="81">
        <v>37717</v>
      </c>
      <c r="R26" s="81">
        <v>36884</v>
      </c>
      <c r="S26" s="81">
        <v>36340</v>
      </c>
      <c r="T26" s="81">
        <v>35014</v>
      </c>
      <c r="U26" s="81">
        <v>32354</v>
      </c>
      <c r="V26" s="81">
        <v>30809</v>
      </c>
      <c r="W26" s="81">
        <v>29685</v>
      </c>
      <c r="X26" s="81">
        <v>29494</v>
      </c>
      <c r="Y26" s="82">
        <v>28537</v>
      </c>
    </row>
    <row r="27" spans="1:25" x14ac:dyDescent="0.25">
      <c r="A27" s="36"/>
      <c r="B27" s="37" t="s">
        <v>18</v>
      </c>
      <c r="C27" s="36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 s="37">
        <v>10</v>
      </c>
      <c r="N27" s="36"/>
      <c r="O27" s="37" t="s">
        <v>18</v>
      </c>
      <c r="P27" s="36">
        <v>20</v>
      </c>
      <c r="Q27">
        <v>15</v>
      </c>
      <c r="R27">
        <v>15</v>
      </c>
      <c r="S27">
        <v>27</v>
      </c>
      <c r="T27">
        <v>19</v>
      </c>
      <c r="U27">
        <v>31</v>
      </c>
      <c r="V27">
        <v>32</v>
      </c>
      <c r="W27">
        <v>24</v>
      </c>
      <c r="X27">
        <v>49</v>
      </c>
      <c r="Y27" s="37">
        <v>55</v>
      </c>
    </row>
    <row r="28" spans="1:25" x14ac:dyDescent="0.25">
      <c r="A28" s="36"/>
      <c r="B28" s="37" t="s">
        <v>20</v>
      </c>
      <c r="C28" s="36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 s="37">
        <v>1928</v>
      </c>
      <c r="N28" s="36"/>
      <c r="O28" s="37" t="s">
        <v>20</v>
      </c>
      <c r="P28" s="36">
        <v>26030</v>
      </c>
      <c r="Q28">
        <v>23850</v>
      </c>
      <c r="R28">
        <v>22750</v>
      </c>
      <c r="S28">
        <v>22012</v>
      </c>
      <c r="T28">
        <v>21151</v>
      </c>
      <c r="U28">
        <v>19945</v>
      </c>
      <c r="V28">
        <v>19615</v>
      </c>
      <c r="W28">
        <v>18972</v>
      </c>
      <c r="X28">
        <v>19268</v>
      </c>
      <c r="Y28" s="37">
        <v>19133</v>
      </c>
    </row>
    <row r="29" spans="1:25" x14ac:dyDescent="0.25">
      <c r="A29" s="36"/>
      <c r="B29" s="37" t="s">
        <v>22</v>
      </c>
      <c r="C29" s="36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 s="37">
        <v>2812</v>
      </c>
      <c r="N29" s="36"/>
      <c r="O29" s="37" t="s">
        <v>22</v>
      </c>
      <c r="P29" s="36">
        <v>13335</v>
      </c>
      <c r="Q29">
        <v>13852</v>
      </c>
      <c r="R29">
        <v>14119</v>
      </c>
      <c r="S29">
        <v>14301</v>
      </c>
      <c r="T29">
        <v>13844</v>
      </c>
      <c r="U29">
        <v>12378</v>
      </c>
      <c r="V29">
        <v>11162</v>
      </c>
      <c r="W29">
        <v>10689</v>
      </c>
      <c r="X29">
        <v>10177</v>
      </c>
      <c r="Y29" s="37">
        <v>9349</v>
      </c>
    </row>
    <row r="30" spans="1:25" x14ac:dyDescent="0.25">
      <c r="A30" s="36" t="s">
        <v>23</v>
      </c>
      <c r="B30" s="37" t="s">
        <v>16</v>
      </c>
      <c r="C30" s="36">
        <v>2138</v>
      </c>
      <c r="D30">
        <v>2246</v>
      </c>
      <c r="E30">
        <v>2279</v>
      </c>
      <c r="F30">
        <v>2497</v>
      </c>
      <c r="G30">
        <v>2521</v>
      </c>
      <c r="H30">
        <v>2452</v>
      </c>
      <c r="I30">
        <v>2423</v>
      </c>
      <c r="J30">
        <v>2462</v>
      </c>
      <c r="K30">
        <v>2508</v>
      </c>
      <c r="L30" s="37">
        <v>2469</v>
      </c>
      <c r="N30" s="36" t="s">
        <v>23</v>
      </c>
      <c r="O30" s="37" t="s">
        <v>16</v>
      </c>
      <c r="P30" s="36">
        <v>19012</v>
      </c>
      <c r="Q30">
        <v>18174</v>
      </c>
      <c r="R30">
        <v>17809</v>
      </c>
      <c r="S30">
        <v>17564</v>
      </c>
      <c r="T30">
        <v>16886</v>
      </c>
      <c r="U30">
        <v>15506</v>
      </c>
      <c r="V30">
        <v>14761</v>
      </c>
      <c r="W30">
        <v>14117</v>
      </c>
      <c r="X30">
        <v>14109</v>
      </c>
      <c r="Y30" s="37">
        <v>13738</v>
      </c>
    </row>
    <row r="31" spans="1:25" x14ac:dyDescent="0.25">
      <c r="A31" s="36"/>
      <c r="B31" s="37" t="s">
        <v>18</v>
      </c>
      <c r="C31" s="36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 s="37">
        <v>4</v>
      </c>
      <c r="N31" s="36"/>
      <c r="O31" s="37" t="s">
        <v>18</v>
      </c>
      <c r="P31" s="36">
        <v>8</v>
      </c>
      <c r="Q31">
        <v>8</v>
      </c>
      <c r="R31">
        <v>8</v>
      </c>
      <c r="S31">
        <v>17</v>
      </c>
      <c r="T31">
        <v>10</v>
      </c>
      <c r="U31">
        <v>14</v>
      </c>
      <c r="V31">
        <v>17</v>
      </c>
      <c r="W31">
        <v>10</v>
      </c>
      <c r="X31">
        <v>28</v>
      </c>
      <c r="Y31" s="37">
        <v>20</v>
      </c>
    </row>
    <row r="32" spans="1:25" x14ac:dyDescent="0.25">
      <c r="A32" s="36"/>
      <c r="B32" s="37" t="s">
        <v>20</v>
      </c>
      <c r="C32" s="36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 s="37">
        <v>1019</v>
      </c>
      <c r="N32" s="36"/>
      <c r="O32" s="37" t="s">
        <v>20</v>
      </c>
      <c r="P32" s="36">
        <v>12252</v>
      </c>
      <c r="Q32">
        <v>11181</v>
      </c>
      <c r="R32">
        <v>10682</v>
      </c>
      <c r="S32">
        <v>10318</v>
      </c>
      <c r="T32">
        <v>9962</v>
      </c>
      <c r="U32">
        <v>9339</v>
      </c>
      <c r="V32">
        <v>9198</v>
      </c>
      <c r="W32">
        <v>8804</v>
      </c>
      <c r="X32">
        <v>9093</v>
      </c>
      <c r="Y32" s="37">
        <v>8999</v>
      </c>
    </row>
    <row r="33" spans="1:25" x14ac:dyDescent="0.25">
      <c r="A33" s="36"/>
      <c r="B33" s="37" t="s">
        <v>22</v>
      </c>
      <c r="C33" s="36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 s="37">
        <v>1446</v>
      </c>
      <c r="N33" s="36"/>
      <c r="O33" s="37" t="s">
        <v>22</v>
      </c>
      <c r="P33" s="36">
        <v>6752</v>
      </c>
      <c r="Q33">
        <v>6985</v>
      </c>
      <c r="R33">
        <v>7119</v>
      </c>
      <c r="S33">
        <v>7229</v>
      </c>
      <c r="T33">
        <v>6914</v>
      </c>
      <c r="U33">
        <v>6153</v>
      </c>
      <c r="V33">
        <v>5546</v>
      </c>
      <c r="W33">
        <v>5303</v>
      </c>
      <c r="X33">
        <v>4988</v>
      </c>
      <c r="Y33" s="37">
        <v>4719</v>
      </c>
    </row>
    <row r="34" spans="1:25" x14ac:dyDescent="0.25">
      <c r="A34" s="36" t="s">
        <v>24</v>
      </c>
      <c r="B34" s="37" t="s">
        <v>16</v>
      </c>
      <c r="C34" s="36">
        <v>1064</v>
      </c>
      <c r="D34">
        <v>1156</v>
      </c>
      <c r="E34">
        <v>1273</v>
      </c>
      <c r="F34">
        <v>1395</v>
      </c>
      <c r="G34">
        <v>1429</v>
      </c>
      <c r="H34">
        <v>1447</v>
      </c>
      <c r="I34">
        <v>1393</v>
      </c>
      <c r="J34">
        <v>1386</v>
      </c>
      <c r="K34">
        <v>1433</v>
      </c>
      <c r="L34" s="37">
        <v>1362</v>
      </c>
      <c r="N34" s="36" t="s">
        <v>24</v>
      </c>
      <c r="O34" s="37" t="s">
        <v>16</v>
      </c>
      <c r="P34" s="36">
        <v>12934</v>
      </c>
      <c r="Q34">
        <v>12379</v>
      </c>
      <c r="R34">
        <v>12202</v>
      </c>
      <c r="S34">
        <v>12175</v>
      </c>
      <c r="T34">
        <v>11557</v>
      </c>
      <c r="U34">
        <v>10963</v>
      </c>
      <c r="V34">
        <v>10400</v>
      </c>
      <c r="W34">
        <v>10078</v>
      </c>
      <c r="X34">
        <v>10001</v>
      </c>
      <c r="Y34" s="37">
        <v>9457</v>
      </c>
    </row>
    <row r="35" spans="1:25" x14ac:dyDescent="0.25">
      <c r="A35" s="36"/>
      <c r="B35" s="37" t="s">
        <v>18</v>
      </c>
      <c r="C35" s="36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 s="37">
        <v>2</v>
      </c>
      <c r="N35" s="36"/>
      <c r="O35" s="37" t="s">
        <v>18</v>
      </c>
      <c r="P35" s="36">
        <v>7</v>
      </c>
      <c r="Q35">
        <v>2</v>
      </c>
      <c r="R35">
        <v>4</v>
      </c>
      <c r="S35">
        <v>3</v>
      </c>
      <c r="T35">
        <v>5</v>
      </c>
      <c r="U35">
        <v>10</v>
      </c>
      <c r="V35">
        <v>7</v>
      </c>
      <c r="W35">
        <v>12</v>
      </c>
      <c r="X35">
        <v>13</v>
      </c>
      <c r="Y35" s="37">
        <v>19</v>
      </c>
    </row>
    <row r="36" spans="1:25" x14ac:dyDescent="0.25">
      <c r="A36" s="36"/>
      <c r="B36" s="37" t="s">
        <v>20</v>
      </c>
      <c r="C36" s="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 s="37">
        <v>523</v>
      </c>
      <c r="N36" s="36"/>
      <c r="O36" s="37" t="s">
        <v>20</v>
      </c>
      <c r="P36" s="36">
        <v>8846</v>
      </c>
      <c r="Q36">
        <v>8043</v>
      </c>
      <c r="R36">
        <v>7862</v>
      </c>
      <c r="S36">
        <v>7686</v>
      </c>
      <c r="T36">
        <v>7191</v>
      </c>
      <c r="U36">
        <v>7015</v>
      </c>
      <c r="V36">
        <v>6857</v>
      </c>
      <c r="W36">
        <v>6700</v>
      </c>
      <c r="X36">
        <v>6679</v>
      </c>
      <c r="Y36" s="37">
        <v>6523</v>
      </c>
    </row>
    <row r="37" spans="1:25" x14ac:dyDescent="0.25">
      <c r="A37" s="36"/>
      <c r="B37" s="37" t="s">
        <v>22</v>
      </c>
      <c r="C37" s="36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 s="37">
        <v>837</v>
      </c>
      <c r="N37" s="36"/>
      <c r="O37" s="37" t="s">
        <v>22</v>
      </c>
      <c r="P37" s="36">
        <v>4081</v>
      </c>
      <c r="Q37">
        <v>4334</v>
      </c>
      <c r="R37">
        <v>4336</v>
      </c>
      <c r="S37">
        <v>4486</v>
      </c>
      <c r="T37">
        <v>4361</v>
      </c>
      <c r="U37">
        <v>3938</v>
      </c>
      <c r="V37">
        <v>3536</v>
      </c>
      <c r="W37">
        <v>3366</v>
      </c>
      <c r="X37">
        <v>3309</v>
      </c>
      <c r="Y37" s="37">
        <v>2915</v>
      </c>
    </row>
    <row r="38" spans="1:25" x14ac:dyDescent="0.25">
      <c r="A38" s="36" t="s">
        <v>25</v>
      </c>
      <c r="B38" s="37" t="s">
        <v>16</v>
      </c>
      <c r="C38" s="36">
        <v>652</v>
      </c>
      <c r="D38">
        <v>659</v>
      </c>
      <c r="E38">
        <v>727</v>
      </c>
      <c r="F38">
        <v>750</v>
      </c>
      <c r="G38">
        <v>777</v>
      </c>
      <c r="H38">
        <v>789</v>
      </c>
      <c r="I38">
        <v>727</v>
      </c>
      <c r="J38">
        <v>727</v>
      </c>
      <c r="K38">
        <v>782</v>
      </c>
      <c r="L38" s="37">
        <v>749</v>
      </c>
      <c r="N38" s="36" t="s">
        <v>25</v>
      </c>
      <c r="O38" s="37" t="s">
        <v>16</v>
      </c>
      <c r="P38" s="36">
        <v>5850</v>
      </c>
      <c r="Q38">
        <v>5684</v>
      </c>
      <c r="R38">
        <v>5425</v>
      </c>
      <c r="S38">
        <v>5242</v>
      </c>
      <c r="T38">
        <v>5106</v>
      </c>
      <c r="U38">
        <v>4630</v>
      </c>
      <c r="V38">
        <v>4401</v>
      </c>
      <c r="W38">
        <v>4250</v>
      </c>
      <c r="X38">
        <v>4191</v>
      </c>
      <c r="Y38" s="37">
        <v>4175</v>
      </c>
    </row>
    <row r="39" spans="1:25" x14ac:dyDescent="0.25">
      <c r="A39" s="36"/>
      <c r="B39" s="37" t="s">
        <v>18</v>
      </c>
      <c r="C39" s="36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 s="37">
        <v>3</v>
      </c>
      <c r="N39" s="36"/>
      <c r="O39" s="37" t="s">
        <v>18</v>
      </c>
      <c r="P39" s="36">
        <v>2</v>
      </c>
      <c r="Q39">
        <v>4</v>
      </c>
      <c r="R39">
        <v>2</v>
      </c>
      <c r="S39">
        <v>5</v>
      </c>
      <c r="T39">
        <v>4</v>
      </c>
      <c r="U39">
        <v>6</v>
      </c>
      <c r="V39">
        <v>6</v>
      </c>
      <c r="W39">
        <v>2</v>
      </c>
      <c r="X39">
        <v>6</v>
      </c>
      <c r="Y39" s="37">
        <v>15</v>
      </c>
    </row>
    <row r="40" spans="1:25" x14ac:dyDescent="0.25">
      <c r="A40" s="36"/>
      <c r="B40" s="37" t="s">
        <v>20</v>
      </c>
      <c r="C40" s="36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 s="37">
        <v>324</v>
      </c>
      <c r="N40" s="36"/>
      <c r="O40" s="37" t="s">
        <v>20</v>
      </c>
      <c r="P40" s="36">
        <v>3711</v>
      </c>
      <c r="Q40">
        <v>3556</v>
      </c>
      <c r="R40">
        <v>3209</v>
      </c>
      <c r="S40">
        <v>3097</v>
      </c>
      <c r="T40">
        <v>2986</v>
      </c>
      <c r="U40">
        <v>2753</v>
      </c>
      <c r="V40">
        <v>2696</v>
      </c>
      <c r="W40">
        <v>2585</v>
      </c>
      <c r="X40">
        <v>2621</v>
      </c>
      <c r="Y40" s="37">
        <v>2744</v>
      </c>
    </row>
    <row r="41" spans="1:25" x14ac:dyDescent="0.25">
      <c r="A41" s="36"/>
      <c r="B41" s="37" t="s">
        <v>22</v>
      </c>
      <c r="C41" s="36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 s="37">
        <v>422</v>
      </c>
      <c r="N41" s="36"/>
      <c r="O41" s="37" t="s">
        <v>22</v>
      </c>
      <c r="P41" s="36">
        <v>2137</v>
      </c>
      <c r="Q41">
        <v>2124</v>
      </c>
      <c r="R41">
        <v>2214</v>
      </c>
      <c r="S41">
        <v>2140</v>
      </c>
      <c r="T41">
        <v>2116</v>
      </c>
      <c r="U41">
        <v>1871</v>
      </c>
      <c r="V41">
        <v>1699</v>
      </c>
      <c r="W41">
        <v>1663</v>
      </c>
      <c r="X41">
        <v>1564</v>
      </c>
      <c r="Y41" s="37">
        <v>1416</v>
      </c>
    </row>
    <row r="42" spans="1:25" x14ac:dyDescent="0.25">
      <c r="A42" s="36" t="s">
        <v>26</v>
      </c>
      <c r="B42" s="37" t="s">
        <v>16</v>
      </c>
      <c r="C42" s="36">
        <v>100</v>
      </c>
      <c r="D42">
        <v>102</v>
      </c>
      <c r="E42">
        <v>99</v>
      </c>
      <c r="F42">
        <v>140</v>
      </c>
      <c r="G42">
        <v>136</v>
      </c>
      <c r="H42">
        <v>147</v>
      </c>
      <c r="I42">
        <v>133</v>
      </c>
      <c r="J42">
        <v>126</v>
      </c>
      <c r="K42">
        <v>143</v>
      </c>
      <c r="L42" s="37">
        <v>170</v>
      </c>
      <c r="N42" s="36" t="s">
        <v>26</v>
      </c>
      <c r="O42" s="37" t="s">
        <v>16</v>
      </c>
      <c r="P42" s="36">
        <v>1589</v>
      </c>
      <c r="Q42">
        <v>1481</v>
      </c>
      <c r="R42">
        <v>1448</v>
      </c>
      <c r="S42">
        <v>1359</v>
      </c>
      <c r="T42">
        <v>1465</v>
      </c>
      <c r="U42">
        <v>1255</v>
      </c>
      <c r="V42">
        <v>1247</v>
      </c>
      <c r="W42">
        <v>1240</v>
      </c>
      <c r="X42">
        <v>1195</v>
      </c>
      <c r="Y42" s="37">
        <v>1167</v>
      </c>
    </row>
    <row r="43" spans="1:25" x14ac:dyDescent="0.25">
      <c r="A43" s="36"/>
      <c r="B43" s="37" t="s">
        <v>18</v>
      </c>
      <c r="C43" s="36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37">
        <v>1</v>
      </c>
      <c r="N43" s="36"/>
      <c r="O43" s="37" t="s">
        <v>18</v>
      </c>
      <c r="P43" s="36">
        <v>3</v>
      </c>
      <c r="Q43">
        <v>1</v>
      </c>
      <c r="R43">
        <v>1</v>
      </c>
      <c r="S43">
        <v>2</v>
      </c>
      <c r="T43">
        <v>0</v>
      </c>
      <c r="U43">
        <v>1</v>
      </c>
      <c r="V43">
        <v>2</v>
      </c>
      <c r="W43">
        <v>0</v>
      </c>
      <c r="X43">
        <v>2</v>
      </c>
      <c r="Y43" s="37">
        <v>1</v>
      </c>
    </row>
    <row r="44" spans="1:25" x14ac:dyDescent="0.25">
      <c r="A44" s="36"/>
      <c r="B44" s="37" t="s">
        <v>20</v>
      </c>
      <c r="C44" s="36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 s="37">
        <v>62</v>
      </c>
      <c r="N44" s="36"/>
      <c r="O44" s="37" t="s">
        <v>20</v>
      </c>
      <c r="P44" s="36">
        <v>1221</v>
      </c>
      <c r="Q44">
        <v>1070</v>
      </c>
      <c r="R44">
        <v>997</v>
      </c>
      <c r="S44">
        <v>911</v>
      </c>
      <c r="T44">
        <v>1012</v>
      </c>
      <c r="U44">
        <v>838</v>
      </c>
      <c r="V44">
        <v>864</v>
      </c>
      <c r="W44">
        <v>883</v>
      </c>
      <c r="X44">
        <v>877</v>
      </c>
      <c r="Y44" s="37">
        <v>867</v>
      </c>
    </row>
    <row r="45" spans="1:25" x14ac:dyDescent="0.25">
      <c r="A45" s="38"/>
      <c r="B45" s="39" t="s">
        <v>22</v>
      </c>
      <c r="C45" s="38">
        <v>66</v>
      </c>
      <c r="D45" s="51">
        <v>67</v>
      </c>
      <c r="E45" s="51">
        <v>69</v>
      </c>
      <c r="F45" s="51">
        <v>98</v>
      </c>
      <c r="G45" s="51">
        <v>92</v>
      </c>
      <c r="H45" s="51">
        <v>101</v>
      </c>
      <c r="I45" s="51">
        <v>88</v>
      </c>
      <c r="J45" s="51">
        <v>84</v>
      </c>
      <c r="K45" s="51">
        <v>94</v>
      </c>
      <c r="L45" s="39">
        <v>107</v>
      </c>
      <c r="N45" s="38"/>
      <c r="O45" s="39" t="s">
        <v>22</v>
      </c>
      <c r="P45" s="38">
        <v>365</v>
      </c>
      <c r="Q45" s="51">
        <v>410</v>
      </c>
      <c r="R45" s="51">
        <v>450</v>
      </c>
      <c r="S45" s="51">
        <v>446</v>
      </c>
      <c r="T45" s="51">
        <v>453</v>
      </c>
      <c r="U45" s="51">
        <v>416</v>
      </c>
      <c r="V45" s="51">
        <v>381</v>
      </c>
      <c r="W45" s="51">
        <v>357</v>
      </c>
      <c r="X45" s="51">
        <v>316</v>
      </c>
      <c r="Y45" s="39">
        <v>299</v>
      </c>
    </row>
    <row r="47" spans="1:25" x14ac:dyDescent="0.25">
      <c r="A47" s="96" t="s">
        <v>30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N47" s="94" t="s">
        <v>31</v>
      </c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</row>
    <row r="48" spans="1:25" x14ac:dyDescent="0.25">
      <c r="A48" s="40" t="s">
        <v>2</v>
      </c>
      <c r="B48" s="41" t="s">
        <v>3</v>
      </c>
      <c r="C48" s="40" t="s">
        <v>4</v>
      </c>
      <c r="D48" s="42" t="s">
        <v>5</v>
      </c>
      <c r="E48" s="42" t="s">
        <v>6</v>
      </c>
      <c r="F48" s="42" t="s">
        <v>7</v>
      </c>
      <c r="G48" s="42" t="s">
        <v>8</v>
      </c>
      <c r="H48" s="42" t="s">
        <v>9</v>
      </c>
      <c r="I48" s="42" t="s">
        <v>10</v>
      </c>
      <c r="J48" s="42" t="s">
        <v>11</v>
      </c>
      <c r="K48" s="42" t="s">
        <v>12</v>
      </c>
      <c r="L48" s="41" t="s">
        <v>13</v>
      </c>
      <c r="N48" s="40" t="s">
        <v>2</v>
      </c>
      <c r="O48" s="41" t="s">
        <v>3</v>
      </c>
      <c r="P48" s="40" t="s">
        <v>4</v>
      </c>
      <c r="Q48" s="42" t="s">
        <v>5</v>
      </c>
      <c r="R48" s="42" t="s">
        <v>6</v>
      </c>
      <c r="S48" s="42" t="s">
        <v>7</v>
      </c>
      <c r="T48" s="42" t="s">
        <v>8</v>
      </c>
      <c r="U48" s="42" t="s">
        <v>9</v>
      </c>
      <c r="V48" s="42" t="s">
        <v>10</v>
      </c>
      <c r="W48" s="42" t="s">
        <v>11</v>
      </c>
      <c r="X48" s="42" t="s">
        <v>12</v>
      </c>
      <c r="Y48" s="41" t="s">
        <v>13</v>
      </c>
    </row>
    <row r="49" spans="1:25" x14ac:dyDescent="0.25">
      <c r="A49" s="36" t="s">
        <v>15</v>
      </c>
      <c r="B49" s="37" t="s">
        <v>16</v>
      </c>
      <c r="C49" s="36">
        <v>23301</v>
      </c>
      <c r="D49">
        <v>21071</v>
      </c>
      <c r="E49">
        <v>19749</v>
      </c>
      <c r="F49">
        <v>18956</v>
      </c>
      <c r="G49">
        <v>17756</v>
      </c>
      <c r="H49">
        <v>16759</v>
      </c>
      <c r="I49">
        <v>16329</v>
      </c>
      <c r="J49">
        <v>15864</v>
      </c>
      <c r="K49">
        <v>16081</v>
      </c>
      <c r="L49" s="37">
        <v>15926</v>
      </c>
      <c r="N49" s="36" t="s">
        <v>15</v>
      </c>
      <c r="O49" s="37" t="s">
        <v>16</v>
      </c>
      <c r="P49" s="80">
        <f>P26-C26-C49</f>
        <v>12130</v>
      </c>
      <c r="Q49" s="81">
        <f t="shared" ref="Q49:Y49" si="0">Q26-D26-D49</f>
        <v>12483</v>
      </c>
      <c r="R49" s="81">
        <f t="shared" si="0"/>
        <v>12757</v>
      </c>
      <c r="S49" s="81">
        <f t="shared" si="0"/>
        <v>12602</v>
      </c>
      <c r="T49" s="81">
        <f t="shared" si="0"/>
        <v>12395</v>
      </c>
      <c r="U49" s="81">
        <f t="shared" si="0"/>
        <v>10760</v>
      </c>
      <c r="V49" s="81">
        <f t="shared" si="0"/>
        <v>9804</v>
      </c>
      <c r="W49" s="81">
        <f t="shared" si="0"/>
        <v>9120</v>
      </c>
      <c r="X49" s="81">
        <f t="shared" si="0"/>
        <v>8547</v>
      </c>
      <c r="Y49" s="82">
        <f t="shared" si="0"/>
        <v>7861</v>
      </c>
    </row>
    <row r="50" spans="1:25" x14ac:dyDescent="0.25">
      <c r="A50" s="36"/>
      <c r="B50" s="37" t="s">
        <v>18</v>
      </c>
      <c r="C50" s="36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 s="37">
        <v>36</v>
      </c>
      <c r="N50" s="36"/>
      <c r="O50" s="37" t="s">
        <v>18</v>
      </c>
      <c r="P50" s="36">
        <f t="shared" ref="P50:P68" si="1">P27-C27-C50</f>
        <v>2</v>
      </c>
      <c r="Q50">
        <f t="shared" ref="Q50:Q68" si="2">Q27-D27-D50</f>
        <v>1</v>
      </c>
      <c r="R50">
        <f t="shared" ref="R50:R68" si="3">R27-E27-E50</f>
        <v>2</v>
      </c>
      <c r="S50">
        <f t="shared" ref="S50:S68" si="4">S27-F27-F50</f>
        <v>8</v>
      </c>
      <c r="T50">
        <f t="shared" ref="T50:T68" si="5">T27-G27-G50</f>
        <v>2</v>
      </c>
      <c r="U50">
        <f t="shared" ref="U50:U68" si="6">U27-H27-H50</f>
        <v>5</v>
      </c>
      <c r="V50">
        <f t="shared" ref="V50:V68" si="7">V27-I27-I50</f>
        <v>4</v>
      </c>
      <c r="W50">
        <f t="shared" ref="W50:W68" si="8">W27-J27-J50</f>
        <v>3</v>
      </c>
      <c r="X50">
        <f t="shared" ref="X50:X68" si="9">X27-K27-K50</f>
        <v>8</v>
      </c>
      <c r="Y50" s="37">
        <f t="shared" ref="Y50:Y68" si="10">Y27-L27-L50</f>
        <v>9</v>
      </c>
    </row>
    <row r="51" spans="1:25" x14ac:dyDescent="0.25">
      <c r="A51" s="36"/>
      <c r="B51" s="37" t="s">
        <v>20</v>
      </c>
      <c r="C51" s="36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 s="37">
        <v>14734</v>
      </c>
      <c r="N51" s="36"/>
      <c r="O51" s="37" t="s">
        <v>20</v>
      </c>
      <c r="P51" s="36">
        <f t="shared" si="1"/>
        <v>2993</v>
      </c>
      <c r="Q51">
        <f t="shared" si="2"/>
        <v>2919</v>
      </c>
      <c r="R51">
        <f t="shared" si="3"/>
        <v>3011</v>
      </c>
      <c r="S51">
        <f t="shared" si="4"/>
        <v>2841</v>
      </c>
      <c r="T51">
        <f t="shared" si="5"/>
        <v>3033</v>
      </c>
      <c r="U51">
        <f t="shared" si="6"/>
        <v>2638</v>
      </c>
      <c r="V51">
        <f t="shared" si="7"/>
        <v>2709</v>
      </c>
      <c r="W51">
        <f t="shared" si="8"/>
        <v>2511</v>
      </c>
      <c r="X51">
        <f t="shared" si="9"/>
        <v>2522</v>
      </c>
      <c r="Y51" s="37">
        <f t="shared" si="10"/>
        <v>2471</v>
      </c>
    </row>
    <row r="52" spans="1:25" x14ac:dyDescent="0.25">
      <c r="A52" s="36"/>
      <c r="B52" s="37" t="s">
        <v>22</v>
      </c>
      <c r="C52" s="36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 s="37">
        <v>1156</v>
      </c>
      <c r="N52" s="36"/>
      <c r="O52" s="37" t="s">
        <v>22</v>
      </c>
      <c r="P52" s="36">
        <f t="shared" si="1"/>
        <v>9135</v>
      </c>
      <c r="Q52">
        <f t="shared" si="2"/>
        <v>9563</v>
      </c>
      <c r="R52">
        <f t="shared" si="3"/>
        <v>9744</v>
      </c>
      <c r="S52">
        <f t="shared" si="4"/>
        <v>9753</v>
      </c>
      <c r="T52">
        <f t="shared" si="5"/>
        <v>9360</v>
      </c>
      <c r="U52">
        <f t="shared" si="6"/>
        <v>8117</v>
      </c>
      <c r="V52">
        <f t="shared" si="7"/>
        <v>7091</v>
      </c>
      <c r="W52">
        <f t="shared" si="8"/>
        <v>6606</v>
      </c>
      <c r="X52">
        <f t="shared" si="9"/>
        <v>6017</v>
      </c>
      <c r="Y52" s="37">
        <f t="shared" si="10"/>
        <v>5381</v>
      </c>
    </row>
    <row r="53" spans="1:25" x14ac:dyDescent="0.25">
      <c r="A53" s="36" t="s">
        <v>23</v>
      </c>
      <c r="B53" s="37" t="s">
        <v>16</v>
      </c>
      <c r="C53" s="36">
        <v>10574</v>
      </c>
      <c r="D53">
        <v>9485</v>
      </c>
      <c r="E53">
        <v>8954</v>
      </c>
      <c r="F53">
        <v>8570</v>
      </c>
      <c r="G53">
        <v>8027</v>
      </c>
      <c r="H53">
        <v>7500</v>
      </c>
      <c r="I53">
        <v>7401</v>
      </c>
      <c r="J53">
        <v>7037</v>
      </c>
      <c r="K53">
        <v>7285</v>
      </c>
      <c r="L53" s="37">
        <v>7207</v>
      </c>
      <c r="N53" s="36" t="s">
        <v>23</v>
      </c>
      <c r="O53" s="37" t="s">
        <v>16</v>
      </c>
      <c r="P53" s="36">
        <f t="shared" si="1"/>
        <v>6300</v>
      </c>
      <c r="Q53">
        <f t="shared" si="2"/>
        <v>6443</v>
      </c>
      <c r="R53">
        <f t="shared" si="3"/>
        <v>6576</v>
      </c>
      <c r="S53">
        <f t="shared" si="4"/>
        <v>6497</v>
      </c>
      <c r="T53">
        <f t="shared" si="5"/>
        <v>6338</v>
      </c>
      <c r="U53">
        <f t="shared" si="6"/>
        <v>5554</v>
      </c>
      <c r="V53">
        <f t="shared" si="7"/>
        <v>4937</v>
      </c>
      <c r="W53">
        <f t="shared" si="8"/>
        <v>4618</v>
      </c>
      <c r="X53">
        <f t="shared" si="9"/>
        <v>4316</v>
      </c>
      <c r="Y53" s="37">
        <f t="shared" si="10"/>
        <v>4062</v>
      </c>
    </row>
    <row r="54" spans="1:25" x14ac:dyDescent="0.25">
      <c r="A54" s="36"/>
      <c r="B54" s="37" t="s">
        <v>18</v>
      </c>
      <c r="C54" s="36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 s="37">
        <v>12</v>
      </c>
      <c r="N54" s="36"/>
      <c r="O54" s="37" t="s">
        <v>18</v>
      </c>
      <c r="P54" s="36">
        <f t="shared" si="1"/>
        <v>0</v>
      </c>
      <c r="Q54">
        <f t="shared" si="2"/>
        <v>0</v>
      </c>
      <c r="R54">
        <f t="shared" si="3"/>
        <v>2</v>
      </c>
      <c r="S54">
        <f t="shared" si="4"/>
        <v>5</v>
      </c>
      <c r="T54">
        <f t="shared" si="5"/>
        <v>2</v>
      </c>
      <c r="U54">
        <f t="shared" si="6"/>
        <v>5</v>
      </c>
      <c r="V54">
        <f t="shared" si="7"/>
        <v>0</v>
      </c>
      <c r="W54">
        <f t="shared" si="8"/>
        <v>2</v>
      </c>
      <c r="X54">
        <f t="shared" si="9"/>
        <v>5</v>
      </c>
      <c r="Y54" s="37">
        <f t="shared" si="10"/>
        <v>4</v>
      </c>
    </row>
    <row r="55" spans="1:25" x14ac:dyDescent="0.25">
      <c r="A55" s="36"/>
      <c r="B55" s="37" t="s">
        <v>20</v>
      </c>
      <c r="C55" s="36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 s="37">
        <v>6679</v>
      </c>
      <c r="N55" s="36"/>
      <c r="O55" s="37" t="s">
        <v>20</v>
      </c>
      <c r="P55" s="36">
        <f t="shared" si="1"/>
        <v>1564</v>
      </c>
      <c r="Q55">
        <f t="shared" si="2"/>
        <v>1518</v>
      </c>
      <c r="R55">
        <f t="shared" si="3"/>
        <v>1566</v>
      </c>
      <c r="S55">
        <f t="shared" si="4"/>
        <v>1493</v>
      </c>
      <c r="T55">
        <f t="shared" si="5"/>
        <v>1581</v>
      </c>
      <c r="U55">
        <f t="shared" si="6"/>
        <v>1407</v>
      </c>
      <c r="V55">
        <f t="shared" si="7"/>
        <v>1360</v>
      </c>
      <c r="W55">
        <f t="shared" si="8"/>
        <v>1307</v>
      </c>
      <c r="X55">
        <f t="shared" si="9"/>
        <v>1298</v>
      </c>
      <c r="Y55" s="37">
        <f t="shared" si="10"/>
        <v>1301</v>
      </c>
    </row>
    <row r="56" spans="1:25" x14ac:dyDescent="0.25">
      <c r="A56" s="36"/>
      <c r="B56" s="37" t="s">
        <v>22</v>
      </c>
      <c r="C56" s="3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 s="37">
        <v>516</v>
      </c>
      <c r="N56" s="36"/>
      <c r="O56" s="37" t="s">
        <v>22</v>
      </c>
      <c r="P56" s="36">
        <f t="shared" si="1"/>
        <v>4736</v>
      </c>
      <c r="Q56">
        <f t="shared" si="2"/>
        <v>4925</v>
      </c>
      <c r="R56">
        <f t="shared" si="3"/>
        <v>5008</v>
      </c>
      <c r="S56">
        <f t="shared" si="4"/>
        <v>4999</v>
      </c>
      <c r="T56">
        <f t="shared" si="5"/>
        <v>4755</v>
      </c>
      <c r="U56">
        <f t="shared" si="6"/>
        <v>4142</v>
      </c>
      <c r="V56">
        <f t="shared" si="7"/>
        <v>3577</v>
      </c>
      <c r="W56">
        <f t="shared" si="8"/>
        <v>3309</v>
      </c>
      <c r="X56">
        <f t="shared" si="9"/>
        <v>3013</v>
      </c>
      <c r="Y56" s="37">
        <f t="shared" si="10"/>
        <v>2757</v>
      </c>
    </row>
    <row r="57" spans="1:25" x14ac:dyDescent="0.25">
      <c r="A57" s="36" t="s">
        <v>24</v>
      </c>
      <c r="B57" s="37" t="s">
        <v>16</v>
      </c>
      <c r="C57" s="36">
        <v>8334</v>
      </c>
      <c r="D57">
        <v>7511</v>
      </c>
      <c r="E57">
        <v>7171</v>
      </c>
      <c r="F57">
        <v>6966</v>
      </c>
      <c r="G57">
        <v>6424</v>
      </c>
      <c r="H57">
        <v>6222</v>
      </c>
      <c r="I57">
        <v>6015</v>
      </c>
      <c r="J57">
        <v>5907</v>
      </c>
      <c r="K57">
        <v>5915</v>
      </c>
      <c r="L57" s="37">
        <v>5731</v>
      </c>
      <c r="N57" s="36" t="s">
        <v>24</v>
      </c>
      <c r="O57" s="37" t="s">
        <v>16</v>
      </c>
      <c r="P57" s="36">
        <f t="shared" si="1"/>
        <v>3536</v>
      </c>
      <c r="Q57">
        <f t="shared" si="2"/>
        <v>3712</v>
      </c>
      <c r="R57">
        <f t="shared" si="3"/>
        <v>3758</v>
      </c>
      <c r="S57">
        <f t="shared" si="4"/>
        <v>3814</v>
      </c>
      <c r="T57">
        <f t="shared" si="5"/>
        <v>3704</v>
      </c>
      <c r="U57">
        <f t="shared" si="6"/>
        <v>3294</v>
      </c>
      <c r="V57">
        <f t="shared" si="7"/>
        <v>2992</v>
      </c>
      <c r="W57">
        <f t="shared" si="8"/>
        <v>2785</v>
      </c>
      <c r="X57">
        <f t="shared" si="9"/>
        <v>2653</v>
      </c>
      <c r="Y57" s="37">
        <f t="shared" si="10"/>
        <v>2364</v>
      </c>
    </row>
    <row r="58" spans="1:25" x14ac:dyDescent="0.25">
      <c r="A58" s="36"/>
      <c r="B58" s="37" t="s">
        <v>18</v>
      </c>
      <c r="C58" s="36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 s="37">
        <v>14</v>
      </c>
      <c r="N58" s="36"/>
      <c r="O58" s="37" t="s">
        <v>18</v>
      </c>
      <c r="P58" s="36">
        <f t="shared" si="1"/>
        <v>2</v>
      </c>
      <c r="Q58">
        <f t="shared" si="2"/>
        <v>0</v>
      </c>
      <c r="R58">
        <f t="shared" si="3"/>
        <v>0</v>
      </c>
      <c r="S58">
        <f t="shared" si="4"/>
        <v>1</v>
      </c>
      <c r="T58">
        <f t="shared" si="5"/>
        <v>0</v>
      </c>
      <c r="U58">
        <f t="shared" si="6"/>
        <v>0</v>
      </c>
      <c r="V58">
        <f t="shared" si="7"/>
        <v>3</v>
      </c>
      <c r="W58">
        <f t="shared" si="8"/>
        <v>1</v>
      </c>
      <c r="X58">
        <f t="shared" si="9"/>
        <v>2</v>
      </c>
      <c r="Y58" s="37">
        <f t="shared" si="10"/>
        <v>3</v>
      </c>
    </row>
    <row r="59" spans="1:25" x14ac:dyDescent="0.25">
      <c r="A59" s="36"/>
      <c r="B59" s="37" t="s">
        <v>20</v>
      </c>
      <c r="C59" s="36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 s="37">
        <v>5283</v>
      </c>
      <c r="N59" s="36"/>
      <c r="O59" s="37" t="s">
        <v>20</v>
      </c>
      <c r="P59" s="36">
        <f t="shared" si="1"/>
        <v>864</v>
      </c>
      <c r="Q59">
        <f t="shared" si="2"/>
        <v>840</v>
      </c>
      <c r="R59">
        <f t="shared" si="3"/>
        <v>917</v>
      </c>
      <c r="S59">
        <f t="shared" si="4"/>
        <v>847</v>
      </c>
      <c r="T59">
        <f t="shared" si="5"/>
        <v>842</v>
      </c>
      <c r="U59">
        <f t="shared" si="6"/>
        <v>810</v>
      </c>
      <c r="V59">
        <f t="shared" si="7"/>
        <v>835</v>
      </c>
      <c r="W59">
        <f t="shared" si="8"/>
        <v>756</v>
      </c>
      <c r="X59">
        <f t="shared" si="9"/>
        <v>759</v>
      </c>
      <c r="Y59" s="37">
        <f t="shared" si="10"/>
        <v>717</v>
      </c>
    </row>
    <row r="60" spans="1:25" x14ac:dyDescent="0.25">
      <c r="A60" s="36"/>
      <c r="B60" s="37" t="s">
        <v>22</v>
      </c>
      <c r="C60" s="36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 s="37">
        <v>434</v>
      </c>
      <c r="N60" s="36"/>
      <c r="O60" s="37" t="s">
        <v>22</v>
      </c>
      <c r="P60" s="36">
        <f t="shared" si="1"/>
        <v>2670</v>
      </c>
      <c r="Q60">
        <f t="shared" si="2"/>
        <v>2872</v>
      </c>
      <c r="R60">
        <f t="shared" si="3"/>
        <v>2841</v>
      </c>
      <c r="S60">
        <f t="shared" si="4"/>
        <v>2966</v>
      </c>
      <c r="T60">
        <f t="shared" si="5"/>
        <v>2862</v>
      </c>
      <c r="U60">
        <f t="shared" si="6"/>
        <v>2484</v>
      </c>
      <c r="V60">
        <f t="shared" si="7"/>
        <v>2154</v>
      </c>
      <c r="W60">
        <f t="shared" si="8"/>
        <v>2028</v>
      </c>
      <c r="X60">
        <f t="shared" si="9"/>
        <v>1892</v>
      </c>
      <c r="Y60" s="37">
        <f t="shared" si="10"/>
        <v>1644</v>
      </c>
    </row>
    <row r="61" spans="1:25" x14ac:dyDescent="0.25">
      <c r="A61" s="36" t="s">
        <v>25</v>
      </c>
      <c r="B61" s="37" t="s">
        <v>16</v>
      </c>
      <c r="C61" s="36">
        <v>3222</v>
      </c>
      <c r="D61">
        <v>3048</v>
      </c>
      <c r="E61">
        <v>2657</v>
      </c>
      <c r="F61">
        <v>2567</v>
      </c>
      <c r="G61">
        <v>2354</v>
      </c>
      <c r="H61">
        <v>2253</v>
      </c>
      <c r="I61">
        <v>2118</v>
      </c>
      <c r="J61">
        <v>2087</v>
      </c>
      <c r="K61">
        <v>2083</v>
      </c>
      <c r="L61" s="37">
        <v>2200</v>
      </c>
      <c r="N61" s="36" t="s">
        <v>25</v>
      </c>
      <c r="O61" s="37" t="s">
        <v>16</v>
      </c>
      <c r="P61" s="36">
        <f t="shared" si="1"/>
        <v>1976</v>
      </c>
      <c r="Q61">
        <f t="shared" si="2"/>
        <v>1977</v>
      </c>
      <c r="R61">
        <f t="shared" si="3"/>
        <v>2041</v>
      </c>
      <c r="S61">
        <f t="shared" si="4"/>
        <v>1925</v>
      </c>
      <c r="T61">
        <f t="shared" si="5"/>
        <v>1975</v>
      </c>
      <c r="U61">
        <f t="shared" si="6"/>
        <v>1588</v>
      </c>
      <c r="V61">
        <f t="shared" si="7"/>
        <v>1556</v>
      </c>
      <c r="W61">
        <f t="shared" si="8"/>
        <v>1436</v>
      </c>
      <c r="X61">
        <f t="shared" si="9"/>
        <v>1326</v>
      </c>
      <c r="Y61" s="37">
        <f t="shared" si="10"/>
        <v>1226</v>
      </c>
    </row>
    <row r="62" spans="1:25" x14ac:dyDescent="0.25">
      <c r="A62" s="36"/>
      <c r="B62" s="37" t="s">
        <v>18</v>
      </c>
      <c r="C62" s="36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 s="37">
        <v>10</v>
      </c>
      <c r="N62" s="36"/>
      <c r="O62" s="37" t="s">
        <v>18</v>
      </c>
      <c r="P62" s="36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0</v>
      </c>
      <c r="U62">
        <f t="shared" si="6"/>
        <v>0</v>
      </c>
      <c r="V62">
        <f t="shared" si="7"/>
        <v>1</v>
      </c>
      <c r="W62">
        <f t="shared" si="8"/>
        <v>0</v>
      </c>
      <c r="X62">
        <f t="shared" si="9"/>
        <v>1</v>
      </c>
      <c r="Y62" s="37">
        <f t="shared" si="10"/>
        <v>2</v>
      </c>
    </row>
    <row r="63" spans="1:25" x14ac:dyDescent="0.25">
      <c r="A63" s="36"/>
      <c r="B63" s="37" t="s">
        <v>20</v>
      </c>
      <c r="C63" s="36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 s="37">
        <v>2041</v>
      </c>
      <c r="N63" s="36"/>
      <c r="O63" s="37" t="s">
        <v>20</v>
      </c>
      <c r="P63" s="36">
        <f t="shared" si="1"/>
        <v>478</v>
      </c>
      <c r="Q63">
        <f t="shared" si="2"/>
        <v>478</v>
      </c>
      <c r="R63">
        <f t="shared" si="3"/>
        <v>457</v>
      </c>
      <c r="S63">
        <f t="shared" si="4"/>
        <v>429</v>
      </c>
      <c r="T63">
        <f t="shared" si="5"/>
        <v>525</v>
      </c>
      <c r="U63">
        <f t="shared" si="6"/>
        <v>357</v>
      </c>
      <c r="V63">
        <f t="shared" si="7"/>
        <v>439</v>
      </c>
      <c r="W63">
        <f t="shared" si="8"/>
        <v>380</v>
      </c>
      <c r="X63">
        <f t="shared" si="9"/>
        <v>385</v>
      </c>
      <c r="Y63" s="37">
        <f t="shared" si="10"/>
        <v>379</v>
      </c>
    </row>
    <row r="64" spans="1:25" x14ac:dyDescent="0.25">
      <c r="A64" s="36"/>
      <c r="B64" s="37" t="s">
        <v>22</v>
      </c>
      <c r="C64" s="36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 s="37">
        <v>149</v>
      </c>
      <c r="N64" s="36"/>
      <c r="O64" s="37" t="s">
        <v>22</v>
      </c>
      <c r="P64" s="36">
        <f t="shared" si="1"/>
        <v>1498</v>
      </c>
      <c r="Q64">
        <f t="shared" si="2"/>
        <v>1499</v>
      </c>
      <c r="R64">
        <f t="shared" si="3"/>
        <v>1584</v>
      </c>
      <c r="S64">
        <f t="shared" si="4"/>
        <v>1496</v>
      </c>
      <c r="T64">
        <f t="shared" si="5"/>
        <v>1450</v>
      </c>
      <c r="U64">
        <f t="shared" si="6"/>
        <v>1231</v>
      </c>
      <c r="V64">
        <f t="shared" si="7"/>
        <v>1116</v>
      </c>
      <c r="W64">
        <f t="shared" si="8"/>
        <v>1056</v>
      </c>
      <c r="X64">
        <f t="shared" si="9"/>
        <v>940</v>
      </c>
      <c r="Y64" s="37">
        <f t="shared" si="10"/>
        <v>845</v>
      </c>
    </row>
    <row r="65" spans="1:25" x14ac:dyDescent="0.25">
      <c r="A65" s="36" t="s">
        <v>26</v>
      </c>
      <c r="B65" s="37" t="s">
        <v>16</v>
      </c>
      <c r="C65" s="36">
        <v>1171</v>
      </c>
      <c r="D65">
        <v>1027</v>
      </c>
      <c r="E65">
        <v>967</v>
      </c>
      <c r="F65">
        <v>853</v>
      </c>
      <c r="G65">
        <v>951</v>
      </c>
      <c r="H65">
        <v>784</v>
      </c>
      <c r="I65">
        <v>795</v>
      </c>
      <c r="J65">
        <v>833</v>
      </c>
      <c r="K65">
        <v>798</v>
      </c>
      <c r="L65" s="37">
        <v>788</v>
      </c>
      <c r="N65" s="36" t="s">
        <v>26</v>
      </c>
      <c r="O65" s="37" t="s">
        <v>16</v>
      </c>
      <c r="P65" s="36">
        <f t="shared" si="1"/>
        <v>318</v>
      </c>
      <c r="Q65">
        <f t="shared" si="2"/>
        <v>352</v>
      </c>
      <c r="R65">
        <f t="shared" si="3"/>
        <v>382</v>
      </c>
      <c r="S65">
        <f t="shared" si="4"/>
        <v>366</v>
      </c>
      <c r="T65">
        <f t="shared" si="5"/>
        <v>378</v>
      </c>
      <c r="U65">
        <f t="shared" si="6"/>
        <v>324</v>
      </c>
      <c r="V65">
        <f t="shared" si="7"/>
        <v>319</v>
      </c>
      <c r="W65">
        <f t="shared" si="8"/>
        <v>281</v>
      </c>
      <c r="X65">
        <f t="shared" si="9"/>
        <v>254</v>
      </c>
      <c r="Y65" s="37">
        <f t="shared" si="10"/>
        <v>209</v>
      </c>
    </row>
    <row r="66" spans="1:25" x14ac:dyDescent="0.25">
      <c r="A66" s="36"/>
      <c r="B66" s="37" t="s">
        <v>18</v>
      </c>
      <c r="C66" s="3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 s="37">
        <v>0</v>
      </c>
      <c r="N66" s="36"/>
      <c r="O66" s="37" t="s">
        <v>18</v>
      </c>
      <c r="P66" s="36">
        <f t="shared" si="1"/>
        <v>0</v>
      </c>
      <c r="Q66">
        <f t="shared" si="2"/>
        <v>1</v>
      </c>
      <c r="R66">
        <f t="shared" si="3"/>
        <v>0</v>
      </c>
      <c r="S66">
        <f t="shared" si="4"/>
        <v>2</v>
      </c>
      <c r="T66">
        <f t="shared" si="5"/>
        <v>0</v>
      </c>
      <c r="U66">
        <f t="shared" si="6"/>
        <v>0</v>
      </c>
      <c r="V66">
        <f t="shared" si="7"/>
        <v>0</v>
      </c>
      <c r="W66">
        <f t="shared" si="8"/>
        <v>0</v>
      </c>
      <c r="X66">
        <f t="shared" si="9"/>
        <v>0</v>
      </c>
      <c r="Y66" s="37">
        <f t="shared" si="10"/>
        <v>0</v>
      </c>
    </row>
    <row r="67" spans="1:25" x14ac:dyDescent="0.25">
      <c r="A67" s="36"/>
      <c r="B67" s="37" t="s">
        <v>20</v>
      </c>
      <c r="C67" s="36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 s="37">
        <v>731</v>
      </c>
      <c r="N67" s="36"/>
      <c r="O67" s="37" t="s">
        <v>20</v>
      </c>
      <c r="P67" s="36">
        <f t="shared" si="1"/>
        <v>87</v>
      </c>
      <c r="Q67">
        <f t="shared" si="2"/>
        <v>83</v>
      </c>
      <c r="R67">
        <f t="shared" si="3"/>
        <v>71</v>
      </c>
      <c r="S67">
        <f t="shared" si="4"/>
        <v>72</v>
      </c>
      <c r="T67">
        <f t="shared" si="5"/>
        <v>85</v>
      </c>
      <c r="U67">
        <f t="shared" si="6"/>
        <v>64</v>
      </c>
      <c r="V67">
        <f t="shared" si="7"/>
        <v>75</v>
      </c>
      <c r="W67">
        <f t="shared" si="8"/>
        <v>68</v>
      </c>
      <c r="X67">
        <f t="shared" si="9"/>
        <v>82</v>
      </c>
      <c r="Y67" s="37">
        <f t="shared" si="10"/>
        <v>74</v>
      </c>
    </row>
    <row r="68" spans="1:25" x14ac:dyDescent="0.25">
      <c r="A68" s="38"/>
      <c r="B68" s="39" t="s">
        <v>22</v>
      </c>
      <c r="C68" s="38">
        <v>68</v>
      </c>
      <c r="D68" s="51">
        <v>75</v>
      </c>
      <c r="E68" s="51">
        <v>70</v>
      </c>
      <c r="F68" s="51">
        <v>56</v>
      </c>
      <c r="G68" s="51">
        <v>68</v>
      </c>
      <c r="H68" s="51">
        <v>55</v>
      </c>
      <c r="I68" s="51">
        <v>49</v>
      </c>
      <c r="J68" s="51">
        <v>60</v>
      </c>
      <c r="K68" s="51">
        <v>50</v>
      </c>
      <c r="L68" s="39">
        <v>57</v>
      </c>
      <c r="N68" s="38"/>
      <c r="O68" s="39" t="s">
        <v>22</v>
      </c>
      <c r="P68" s="38">
        <f t="shared" si="1"/>
        <v>231</v>
      </c>
      <c r="Q68" s="51">
        <f t="shared" si="2"/>
        <v>268</v>
      </c>
      <c r="R68" s="51">
        <f t="shared" si="3"/>
        <v>311</v>
      </c>
      <c r="S68" s="51">
        <f t="shared" si="4"/>
        <v>292</v>
      </c>
      <c r="T68" s="51">
        <f t="shared" si="5"/>
        <v>293</v>
      </c>
      <c r="U68" s="51">
        <f t="shared" si="6"/>
        <v>260</v>
      </c>
      <c r="V68" s="51">
        <f t="shared" si="7"/>
        <v>244</v>
      </c>
      <c r="W68" s="51">
        <f t="shared" si="8"/>
        <v>213</v>
      </c>
      <c r="X68" s="51">
        <f t="shared" si="9"/>
        <v>172</v>
      </c>
      <c r="Y68" s="39">
        <f t="shared" si="10"/>
        <v>135</v>
      </c>
    </row>
    <row r="70" spans="1:25" x14ac:dyDescent="0.25">
      <c r="A70" s="91" t="s">
        <v>32</v>
      </c>
      <c r="B70" s="92"/>
      <c r="C70" s="92"/>
      <c r="D70" s="92"/>
      <c r="E70" s="93"/>
    </row>
    <row r="71" spans="1:25" x14ac:dyDescent="0.25">
      <c r="A71" s="40" t="s">
        <v>2</v>
      </c>
      <c r="B71" s="41" t="s">
        <v>33</v>
      </c>
      <c r="C71" s="42" t="s">
        <v>34</v>
      </c>
      <c r="D71" s="42" t="s">
        <v>35</v>
      </c>
      <c r="E71" s="41" t="s">
        <v>36</v>
      </c>
    </row>
    <row r="72" spans="1:25" x14ac:dyDescent="0.25">
      <c r="A72" s="36" t="s">
        <v>15</v>
      </c>
      <c r="B72" s="37">
        <v>1</v>
      </c>
      <c r="C72">
        <v>64123</v>
      </c>
      <c r="D72" s="3">
        <v>0.94599999999999995</v>
      </c>
      <c r="E72" s="52">
        <f>1-Dati_OPTN!$D72</f>
        <v>5.4000000000000048E-2</v>
      </c>
    </row>
    <row r="73" spans="1:25" x14ac:dyDescent="0.25">
      <c r="A73" s="36"/>
      <c r="B73" s="37">
        <v>3</v>
      </c>
      <c r="C73">
        <v>56240</v>
      </c>
      <c r="D73" s="3">
        <v>0.878</v>
      </c>
      <c r="E73" s="52">
        <f>1-Dati_OPTN!$D73</f>
        <v>0.122</v>
      </c>
    </row>
    <row r="74" spans="1:25" x14ac:dyDescent="0.25">
      <c r="A74" s="36"/>
      <c r="B74" s="37">
        <v>5</v>
      </c>
      <c r="C74">
        <v>47638</v>
      </c>
      <c r="D74" s="3">
        <v>0.78674999999999995</v>
      </c>
      <c r="E74" s="52">
        <f>1-Dati_OPTN!$D74</f>
        <v>0.21325000000000005</v>
      </c>
    </row>
    <row r="75" spans="1:25" x14ac:dyDescent="0.25">
      <c r="A75" s="36" t="s">
        <v>23</v>
      </c>
      <c r="B75" s="37">
        <v>1</v>
      </c>
      <c r="C75">
        <v>28779</v>
      </c>
      <c r="D75" s="3">
        <v>0.94599999999999995</v>
      </c>
      <c r="E75" s="52">
        <f>1-Dati_OPTN!$D75</f>
        <v>5.4000000000000048E-2</v>
      </c>
    </row>
    <row r="76" spans="1:25" x14ac:dyDescent="0.25">
      <c r="A76" s="36"/>
      <c r="B76" s="37">
        <v>3</v>
      </c>
      <c r="C76">
        <v>25312</v>
      </c>
      <c r="D76" s="3">
        <v>0.876</v>
      </c>
      <c r="E76" s="52">
        <f>1-Dati_OPTN!$D76</f>
        <v>0.124</v>
      </c>
    </row>
    <row r="77" spans="1:25" x14ac:dyDescent="0.25">
      <c r="A77" s="36"/>
      <c r="B77" s="37">
        <v>5</v>
      </c>
      <c r="C77">
        <v>21429</v>
      </c>
      <c r="D77" s="3">
        <v>0.78500000000000003</v>
      </c>
      <c r="E77" s="52">
        <f>1-Dati_OPTN!$D77</f>
        <v>0.21499999999999997</v>
      </c>
    </row>
    <row r="78" spans="1:25" x14ac:dyDescent="0.25">
      <c r="A78" s="36" t="s">
        <v>24</v>
      </c>
      <c r="B78" s="37">
        <v>1</v>
      </c>
      <c r="C78">
        <v>23687</v>
      </c>
      <c r="D78" s="3">
        <v>0.94699999999999995</v>
      </c>
      <c r="E78" s="52">
        <f>1-Dati_OPTN!$D78</f>
        <v>5.3000000000000047E-2</v>
      </c>
    </row>
    <row r="79" spans="1:25" x14ac:dyDescent="0.25">
      <c r="A79" s="36"/>
      <c r="B79" s="37">
        <v>3</v>
      </c>
      <c r="C79">
        <v>20747</v>
      </c>
      <c r="D79" s="3">
        <v>0.878</v>
      </c>
      <c r="E79" s="52">
        <f>1-Dati_OPTN!$D79</f>
        <v>0.122</v>
      </c>
    </row>
    <row r="80" spans="1:25" x14ac:dyDescent="0.25">
      <c r="A80" s="36"/>
      <c r="B80" s="37">
        <v>5</v>
      </c>
      <c r="C80">
        <v>17602</v>
      </c>
      <c r="D80" s="3">
        <v>0.78500000000000003</v>
      </c>
      <c r="E80" s="52">
        <f>1-Dati_OPTN!$D80</f>
        <v>0.21499999999999997</v>
      </c>
    </row>
    <row r="81" spans="1:5" x14ac:dyDescent="0.25">
      <c r="A81" s="36" t="s">
        <v>25</v>
      </c>
      <c r="B81" s="37">
        <v>1</v>
      </c>
      <c r="C81">
        <v>8436</v>
      </c>
      <c r="D81" s="3">
        <v>0.94399999999999995</v>
      </c>
      <c r="E81" s="52">
        <f>1-Dati_OPTN!$D81</f>
        <v>5.600000000000005E-2</v>
      </c>
    </row>
    <row r="82" spans="1:5" x14ac:dyDescent="0.25">
      <c r="A82" s="36"/>
      <c r="B82" s="37">
        <v>3</v>
      </c>
      <c r="C82">
        <v>7380</v>
      </c>
      <c r="D82" s="3">
        <v>0.876</v>
      </c>
      <c r="E82" s="52">
        <f>1-Dati_OPTN!$D82</f>
        <v>0.124</v>
      </c>
    </row>
    <row r="83" spans="1:5" x14ac:dyDescent="0.25">
      <c r="A83" s="36"/>
      <c r="B83" s="37">
        <v>5</v>
      </c>
      <c r="C83">
        <v>6279</v>
      </c>
      <c r="D83" s="3">
        <v>0.77600000000000002</v>
      </c>
      <c r="E83" s="52">
        <f>1-Dati_OPTN!$D83</f>
        <v>0.22399999999999998</v>
      </c>
    </row>
    <row r="84" spans="1:5" x14ac:dyDescent="0.25">
      <c r="A84" s="36" t="s">
        <v>26</v>
      </c>
      <c r="B84" s="37">
        <v>1</v>
      </c>
      <c r="C84">
        <v>3221</v>
      </c>
      <c r="D84" s="3">
        <v>0.94699999999999995</v>
      </c>
      <c r="E84" s="52">
        <f>1-Dati_OPTN!$D84</f>
        <v>5.3000000000000047E-2</v>
      </c>
    </row>
    <row r="85" spans="1:5" x14ac:dyDescent="0.25">
      <c r="A85" s="36"/>
      <c r="B85" s="37">
        <v>3</v>
      </c>
      <c r="C85">
        <v>2801</v>
      </c>
      <c r="D85" s="3">
        <v>0.88200000000000001</v>
      </c>
      <c r="E85" s="52">
        <f>1-Dati_OPTN!$D85</f>
        <v>0.11799999999999999</v>
      </c>
    </row>
    <row r="86" spans="1:5" x14ac:dyDescent="0.25">
      <c r="A86" s="38"/>
      <c r="B86" s="39">
        <v>5</v>
      </c>
      <c r="C86" s="51">
        <v>2328</v>
      </c>
      <c r="D86" s="53">
        <v>0.80100000000000005</v>
      </c>
      <c r="E86" s="54">
        <f>1-Dati_OPTN!$D86</f>
        <v>0.19899999999999995</v>
      </c>
    </row>
  </sheetData>
  <mergeCells count="7">
    <mergeCell ref="A70:E70"/>
    <mergeCell ref="A1:L1"/>
    <mergeCell ref="N1:Y1"/>
    <mergeCell ref="A24:L24"/>
    <mergeCell ref="N24:Y24"/>
    <mergeCell ref="A47:L47"/>
    <mergeCell ref="N47:Y47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zoomScaleNormal="100" workbookViewId="0">
      <selection activeCell="P15" sqref="P15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</cols>
  <sheetData>
    <row r="1" spans="1:13" x14ac:dyDescent="0.25">
      <c r="A1" s="98" t="s">
        <v>195</v>
      </c>
      <c r="B1" s="99"/>
      <c r="C1" s="99"/>
      <c r="D1" s="100"/>
      <c r="F1" s="98" t="s">
        <v>37</v>
      </c>
      <c r="G1" s="99"/>
      <c r="H1" s="100"/>
      <c r="I1" s="2"/>
      <c r="J1" s="98" t="s">
        <v>207</v>
      </c>
      <c r="K1" s="99"/>
      <c r="L1" s="99"/>
      <c r="M1" s="100"/>
    </row>
    <row r="2" spans="1:13" x14ac:dyDescent="0.25">
      <c r="A2" s="58" t="s">
        <v>2</v>
      </c>
      <c r="B2" s="59" t="s">
        <v>3</v>
      </c>
      <c r="C2" s="60" t="s">
        <v>196</v>
      </c>
      <c r="D2" s="59" t="s">
        <v>38</v>
      </c>
      <c r="F2" s="58" t="s">
        <v>2</v>
      </c>
      <c r="G2" s="59" t="s">
        <v>3</v>
      </c>
      <c r="H2" s="59" t="s">
        <v>38</v>
      </c>
      <c r="I2" s="2"/>
      <c r="J2" s="58" t="s">
        <v>2</v>
      </c>
      <c r="K2" s="59" t="s">
        <v>3</v>
      </c>
      <c r="L2" s="60" t="s">
        <v>196</v>
      </c>
      <c r="M2" s="59" t="s">
        <v>38</v>
      </c>
    </row>
    <row r="3" spans="1:13" x14ac:dyDescent="0.25">
      <c r="A3" s="6" t="s">
        <v>15</v>
      </c>
      <c r="B3" s="56" t="s">
        <v>16</v>
      </c>
      <c r="C3" s="4">
        <f>AVERAGE(Dati_OPTN!C3:H3)</f>
        <v>37393</v>
      </c>
      <c r="D3" s="61">
        <f>Arrivi!$C3/365</f>
        <v>102.44657534246575</v>
      </c>
      <c r="F3" s="6" t="s">
        <v>15</v>
      </c>
      <c r="G3" s="56" t="s">
        <v>16</v>
      </c>
      <c r="H3" s="61">
        <f>Dati_OPTN!C3/365</f>
        <v>113.78356164383561</v>
      </c>
      <c r="I3" s="4"/>
      <c r="J3" s="6" t="s">
        <v>15</v>
      </c>
      <c r="K3" s="56" t="s">
        <v>16</v>
      </c>
      <c r="L3" s="72">
        <f>AVERAGE(Dati_OPTN!C3:L3)</f>
        <v>36519.4</v>
      </c>
      <c r="M3" s="73">
        <f>Arrivi!L3/365</f>
        <v>100.05315068493151</v>
      </c>
    </row>
    <row r="4" spans="1:13" x14ac:dyDescent="0.25">
      <c r="A4" s="6"/>
      <c r="B4" s="56" t="s">
        <v>18</v>
      </c>
      <c r="C4" s="4">
        <f>AVERAGE(Dati_OPTN!C4:H4)</f>
        <v>37.333333333333336</v>
      </c>
      <c r="D4" s="61">
        <f>Arrivi!$C4/365</f>
        <v>0.10228310502283106</v>
      </c>
      <c r="F4" s="36"/>
      <c r="G4" s="56" t="s">
        <v>18</v>
      </c>
      <c r="H4" s="61">
        <f>Dati_OPTN!C4/365</f>
        <v>0.11232876712328767</v>
      </c>
      <c r="I4" s="4"/>
      <c r="J4" s="6"/>
      <c r="K4" s="56" t="s">
        <v>18</v>
      </c>
      <c r="L4" s="74">
        <f>AVERAGE(Dati_OPTN!C4:L4)</f>
        <v>34.4</v>
      </c>
      <c r="M4" s="61">
        <f>Arrivi!L4/365</f>
        <v>9.4246575342465749E-2</v>
      </c>
    </row>
    <row r="5" spans="1:13" x14ac:dyDescent="0.25">
      <c r="A5" s="6"/>
      <c r="B5" s="56" t="s">
        <v>20</v>
      </c>
      <c r="C5" s="4">
        <f>AVERAGE(Dati_OPTN!C5:H5)</f>
        <v>28004.833333333332</v>
      </c>
      <c r="D5" s="61">
        <f>Arrivi!$C5/365</f>
        <v>76.725570776255708</v>
      </c>
      <c r="F5" s="36"/>
      <c r="G5" s="56" t="s">
        <v>20</v>
      </c>
      <c r="H5" s="61">
        <f>Dati_OPTN!C5/365</f>
        <v>85.328767123287676</v>
      </c>
      <c r="I5" s="4"/>
      <c r="J5" s="6"/>
      <c r="K5" s="56" t="s">
        <v>20</v>
      </c>
      <c r="L5" s="74">
        <f>AVERAGE(Dati_OPTN!C5:L5)</f>
        <v>26514.3</v>
      </c>
      <c r="M5" s="61">
        <f>Arrivi!L5/365</f>
        <v>72.641917808219176</v>
      </c>
    </row>
    <row r="6" spans="1:13" x14ac:dyDescent="0.25">
      <c r="A6" s="6"/>
      <c r="B6" s="56" t="s">
        <v>22</v>
      </c>
      <c r="C6" s="4">
        <f>AVERAGE(Dati_OPTN!C6:H6)</f>
        <v>9350.8333333333339</v>
      </c>
      <c r="D6" s="61">
        <f>Arrivi!$C6/365</f>
        <v>25.618721461187217</v>
      </c>
      <c r="F6" s="36"/>
      <c r="G6" s="56" t="s">
        <v>22</v>
      </c>
      <c r="H6" s="61">
        <f>Dati_OPTN!C6/365</f>
        <v>28.342465753424658</v>
      </c>
      <c r="I6" s="4"/>
      <c r="J6" s="6"/>
      <c r="K6" s="56" t="s">
        <v>22</v>
      </c>
      <c r="L6" s="74">
        <f>AVERAGE(Dati_OPTN!C6:L6)</f>
        <v>9970.7000000000007</v>
      </c>
      <c r="M6" s="61">
        <f>Arrivi!L6/365</f>
        <v>27.316986301369866</v>
      </c>
    </row>
    <row r="7" spans="1:13" x14ac:dyDescent="0.25">
      <c r="A7" s="6" t="s">
        <v>23</v>
      </c>
      <c r="B7" s="56" t="s">
        <v>16</v>
      </c>
      <c r="C7" s="4">
        <f>AVERAGE(Dati_OPTN!C7:H7)</f>
        <v>18237.333333333332</v>
      </c>
      <c r="D7" s="61">
        <f>Arrivi!$C7/365</f>
        <v>49.965296803652961</v>
      </c>
      <c r="F7" s="6" t="s">
        <v>23</v>
      </c>
      <c r="G7" s="56" t="s">
        <v>16</v>
      </c>
      <c r="H7" s="61">
        <f>Dati_OPTN!C7/365</f>
        <v>55.720547945205482</v>
      </c>
      <c r="I7" s="4"/>
      <c r="J7" s="6" t="s">
        <v>23</v>
      </c>
      <c r="K7" s="56" t="s">
        <v>16</v>
      </c>
      <c r="L7" s="74">
        <f>AVERAGE(Dati_OPTN!C7:L7)</f>
        <v>17771.8</v>
      </c>
      <c r="M7" s="61">
        <f>Arrivi!L7/365</f>
        <v>48.689863013698627</v>
      </c>
    </row>
    <row r="8" spans="1:13" x14ac:dyDescent="0.25">
      <c r="A8" s="6"/>
      <c r="B8" s="56" t="s">
        <v>18</v>
      </c>
      <c r="C8" s="4">
        <f>AVERAGE(Dati_OPTN!C8:H8)</f>
        <v>19</v>
      </c>
      <c r="D8" s="61">
        <f>Arrivi!$C8/365</f>
        <v>5.2054794520547946E-2</v>
      </c>
      <c r="F8" s="36"/>
      <c r="G8" s="56" t="s">
        <v>18</v>
      </c>
      <c r="H8" s="61">
        <f>Dati_OPTN!C8/365</f>
        <v>5.2054794520547946E-2</v>
      </c>
      <c r="I8" s="4"/>
      <c r="J8" s="6"/>
      <c r="K8" s="56" t="s">
        <v>18</v>
      </c>
      <c r="L8" s="74">
        <f>AVERAGE(Dati_OPTN!C8:L8)</f>
        <v>17.899999999999999</v>
      </c>
      <c r="M8" s="61">
        <f>Arrivi!L8/365</f>
        <v>4.9041095890410953E-2</v>
      </c>
    </row>
    <row r="9" spans="1:13" x14ac:dyDescent="0.25">
      <c r="A9" s="6"/>
      <c r="B9" s="56" t="s">
        <v>20</v>
      </c>
      <c r="C9" s="4">
        <f>AVERAGE(Dati_OPTN!C9:H9)</f>
        <v>13753.333333333334</v>
      </c>
      <c r="D9" s="61">
        <f>Arrivi!$C9/365</f>
        <v>37.680365296803657</v>
      </c>
      <c r="F9" s="36"/>
      <c r="G9" s="56" t="s">
        <v>20</v>
      </c>
      <c r="H9" s="61">
        <f>Dati_OPTN!C9/365</f>
        <v>42.142465753424659</v>
      </c>
      <c r="I9" s="4"/>
      <c r="J9" s="6"/>
      <c r="K9" s="56" t="s">
        <v>20</v>
      </c>
      <c r="L9" s="74">
        <f>AVERAGE(Dati_OPTN!C9:L9)</f>
        <v>12975.9</v>
      </c>
      <c r="M9" s="61">
        <f>Arrivi!L9/365</f>
        <v>35.550410958904109</v>
      </c>
    </row>
    <row r="10" spans="1:13" x14ac:dyDescent="0.25">
      <c r="A10" s="6"/>
      <c r="B10" s="56" t="s">
        <v>22</v>
      </c>
      <c r="C10" s="4">
        <f>AVERAGE(Dati_OPTN!C10:H10)</f>
        <v>4465</v>
      </c>
      <c r="D10" s="61">
        <f>Arrivi!$C10/365</f>
        <v>12.232876712328768</v>
      </c>
      <c r="F10" s="36"/>
      <c r="G10" s="56" t="s">
        <v>22</v>
      </c>
      <c r="H10" s="61">
        <f>Dati_OPTN!C10/365</f>
        <v>13.526027397260274</v>
      </c>
      <c r="I10" s="4"/>
      <c r="J10" s="6"/>
      <c r="K10" s="56" t="s">
        <v>22</v>
      </c>
      <c r="L10" s="74">
        <f>AVERAGE(Dati_OPTN!C10:L10)</f>
        <v>4778</v>
      </c>
      <c r="M10" s="61">
        <f>Arrivi!L10/365</f>
        <v>13.09041095890411</v>
      </c>
    </row>
    <row r="11" spans="1:13" x14ac:dyDescent="0.25">
      <c r="A11" s="6" t="s">
        <v>24</v>
      </c>
      <c r="B11" s="56" t="s">
        <v>16</v>
      </c>
      <c r="C11" s="4">
        <f>AVERAGE(Dati_OPTN!C11:H11)</f>
        <v>12168.166666666666</v>
      </c>
      <c r="D11" s="61">
        <f>Arrivi!$C11/365</f>
        <v>33.337442922374429</v>
      </c>
      <c r="F11" s="6" t="s">
        <v>24</v>
      </c>
      <c r="G11" s="56" t="s">
        <v>16</v>
      </c>
      <c r="H11" s="61">
        <f>Dati_OPTN!C11/365</f>
        <v>36.860273972602741</v>
      </c>
      <c r="I11" s="4"/>
      <c r="J11" s="6" t="s">
        <v>24</v>
      </c>
      <c r="K11" s="56" t="s">
        <v>16</v>
      </c>
      <c r="L11" s="74">
        <f>AVERAGE(Dati_OPTN!C11:L11)</f>
        <v>11951.8</v>
      </c>
      <c r="M11" s="61">
        <f>Arrivi!L11/365</f>
        <v>32.744657534246571</v>
      </c>
    </row>
    <row r="12" spans="1:13" x14ac:dyDescent="0.25">
      <c r="A12" s="6"/>
      <c r="B12" s="56" t="s">
        <v>18</v>
      </c>
      <c r="C12" s="4">
        <f>AVERAGE(Dati_OPTN!C12:H12)</f>
        <v>10.666666666666666</v>
      </c>
      <c r="D12" s="61">
        <f>Arrivi!$C12/365</f>
        <v>2.9223744292237442E-2</v>
      </c>
      <c r="F12" s="6"/>
      <c r="G12" s="56" t="s">
        <v>18</v>
      </c>
      <c r="H12" s="61">
        <f>Dati_OPTN!C12/365</f>
        <v>2.7397260273972601E-2</v>
      </c>
      <c r="I12" s="4"/>
      <c r="J12" s="6"/>
      <c r="K12" s="56" t="s">
        <v>18</v>
      </c>
      <c r="L12" s="74">
        <f>AVERAGE(Dati_OPTN!C12:L12)</f>
        <v>10</v>
      </c>
      <c r="M12" s="61">
        <f>Arrivi!L12/365</f>
        <v>2.7397260273972601E-2</v>
      </c>
    </row>
    <row r="13" spans="1:13" x14ac:dyDescent="0.25">
      <c r="A13" s="6"/>
      <c r="B13" s="56" t="s">
        <v>20</v>
      </c>
      <c r="C13" s="4">
        <f>AVERAGE(Dati_OPTN!C13:H13)</f>
        <v>9003.1666666666661</v>
      </c>
      <c r="D13" s="61">
        <f>Arrivi!$C13/365</f>
        <v>24.666210045662098</v>
      </c>
      <c r="F13" s="36"/>
      <c r="G13" s="56" t="s">
        <v>20</v>
      </c>
      <c r="H13" s="61">
        <f>Dati_OPTN!C13/365</f>
        <v>27.164383561643834</v>
      </c>
      <c r="I13" s="4"/>
      <c r="J13" s="6"/>
      <c r="K13" s="56" t="s">
        <v>20</v>
      </c>
      <c r="L13" s="74">
        <f>AVERAGE(Dati_OPTN!C13:L13)</f>
        <v>8612.7999999999993</v>
      </c>
      <c r="M13" s="61">
        <f>Arrivi!L13/365</f>
        <v>23.596712328767122</v>
      </c>
    </row>
    <row r="14" spans="1:13" x14ac:dyDescent="0.25">
      <c r="A14" s="6"/>
      <c r="B14" s="56" t="s">
        <v>22</v>
      </c>
      <c r="C14" s="4">
        <f>AVERAGE(Dati_OPTN!C14:H14)</f>
        <v>3154.3333333333335</v>
      </c>
      <c r="D14" s="61">
        <f>Arrivi!$C14/365</f>
        <v>8.6420091324200925</v>
      </c>
      <c r="F14" s="36"/>
      <c r="G14" s="56" t="s">
        <v>22</v>
      </c>
      <c r="H14" s="61">
        <f>Dati_OPTN!C14/365</f>
        <v>9.668493150684931</v>
      </c>
      <c r="I14" s="4"/>
      <c r="J14" s="6"/>
      <c r="K14" s="56" t="s">
        <v>22</v>
      </c>
      <c r="L14" s="74">
        <f>AVERAGE(Dati_OPTN!C14:L14)</f>
        <v>3329</v>
      </c>
      <c r="M14" s="61">
        <f>Arrivi!L14/365</f>
        <v>9.1205479452054803</v>
      </c>
    </row>
    <row r="15" spans="1:13" x14ac:dyDescent="0.25">
      <c r="A15" s="6" t="s">
        <v>25</v>
      </c>
      <c r="B15" s="56" t="s">
        <v>16</v>
      </c>
      <c r="C15" s="4">
        <f>AVERAGE(Dati_OPTN!C15:H15)</f>
        <v>5563.5</v>
      </c>
      <c r="D15" s="61">
        <f>Arrivi!$C15/365</f>
        <v>15.242465753424657</v>
      </c>
      <c r="F15" s="6" t="s">
        <v>25</v>
      </c>
      <c r="G15" s="56" t="s">
        <v>16</v>
      </c>
      <c r="H15" s="61">
        <f>Dati_OPTN!C15/365</f>
        <v>16.843835616438355</v>
      </c>
      <c r="I15" s="4"/>
      <c r="J15" s="6" t="s">
        <v>25</v>
      </c>
      <c r="K15" s="56" t="s">
        <v>16</v>
      </c>
      <c r="L15" s="74">
        <f>AVERAGE(Dati_OPTN!C15:L15)</f>
        <v>5403.9</v>
      </c>
      <c r="M15" s="61">
        <f>Arrivi!L15/365</f>
        <v>14.805205479452054</v>
      </c>
    </row>
    <row r="16" spans="1:13" x14ac:dyDescent="0.25">
      <c r="A16" s="6"/>
      <c r="B16" s="56" t="s">
        <v>18</v>
      </c>
      <c r="C16" s="4">
        <f>AVERAGE(Dati_OPTN!C16:H16)</f>
        <v>6</v>
      </c>
      <c r="D16" s="61">
        <f>Arrivi!$C16/365</f>
        <v>1.643835616438356E-2</v>
      </c>
      <c r="F16" s="36"/>
      <c r="G16" s="56" t="s">
        <v>18</v>
      </c>
      <c r="H16" s="61">
        <f>Dati_OPTN!C16/365</f>
        <v>2.7397260273972601E-2</v>
      </c>
      <c r="I16" s="4"/>
      <c r="J16" s="6"/>
      <c r="K16" s="56" t="s">
        <v>18</v>
      </c>
      <c r="L16" s="74">
        <f>AVERAGE(Dati_OPTN!C16:L16)</f>
        <v>5</v>
      </c>
      <c r="M16" s="61">
        <f>Arrivi!L16/365</f>
        <v>1.3698630136986301E-2</v>
      </c>
    </row>
    <row r="17" spans="1:13" x14ac:dyDescent="0.25">
      <c r="A17" s="6"/>
      <c r="B17" s="56" t="s">
        <v>20</v>
      </c>
      <c r="C17" s="4">
        <f>AVERAGE(Dati_OPTN!C17:H17)</f>
        <v>4198</v>
      </c>
      <c r="D17" s="61">
        <f>Arrivi!$C17/365</f>
        <v>11.501369863013698</v>
      </c>
      <c r="F17" s="36"/>
      <c r="G17" s="56" t="s">
        <v>20</v>
      </c>
      <c r="H17" s="61">
        <f>Dati_OPTN!C17/365</f>
        <v>12.846575342465753</v>
      </c>
      <c r="I17" s="4"/>
      <c r="J17" s="6"/>
      <c r="K17" s="56" t="s">
        <v>20</v>
      </c>
      <c r="L17" s="74">
        <f>AVERAGE(Dati_OPTN!C17:L17)</f>
        <v>3934.4</v>
      </c>
      <c r="M17" s="61">
        <f>Arrivi!L17/365</f>
        <v>10.77917808219178</v>
      </c>
    </row>
    <row r="18" spans="1:13" x14ac:dyDescent="0.25">
      <c r="A18" s="6"/>
      <c r="B18" s="56" t="s">
        <v>22</v>
      </c>
      <c r="C18" s="4">
        <f>AVERAGE(Dati_OPTN!C18:H18)</f>
        <v>1359.5</v>
      </c>
      <c r="D18" s="61">
        <f>Arrivi!$C18/365</f>
        <v>3.7246575342465755</v>
      </c>
      <c r="F18" s="36"/>
      <c r="G18" s="56" t="s">
        <v>22</v>
      </c>
      <c r="H18" s="61">
        <f>Dati_OPTN!C18/365</f>
        <v>3.9698630136986299</v>
      </c>
      <c r="I18" s="4"/>
      <c r="J18" s="6"/>
      <c r="K18" s="56" t="s">
        <v>22</v>
      </c>
      <c r="L18" s="74">
        <f>AVERAGE(Dati_OPTN!C18:L18)</f>
        <v>1464.5</v>
      </c>
      <c r="M18" s="61">
        <f>Arrivi!L18/365</f>
        <v>4.0123287671232877</v>
      </c>
    </row>
    <row r="19" spans="1:13" x14ac:dyDescent="0.25">
      <c r="A19" s="6" t="s">
        <v>26</v>
      </c>
      <c r="B19" s="56" t="s">
        <v>16</v>
      </c>
      <c r="C19" s="4">
        <f>AVERAGE(Dati_OPTN!C19:H19)</f>
        <v>1424.8333333333333</v>
      </c>
      <c r="D19" s="61">
        <f>Arrivi!$C19/365</f>
        <v>3.9036529680365293</v>
      </c>
      <c r="F19" s="6" t="s">
        <v>26</v>
      </c>
      <c r="G19" s="56" t="s">
        <v>16</v>
      </c>
      <c r="H19" s="61">
        <f>Dati_OPTN!C19/365</f>
        <v>4.3616438356164382</v>
      </c>
      <c r="I19" s="4"/>
      <c r="J19" s="6" t="s">
        <v>26</v>
      </c>
      <c r="K19" s="56" t="s">
        <v>16</v>
      </c>
      <c r="L19" s="74">
        <f>AVERAGE(Dati_OPTN!C19:L19)</f>
        <v>1392.7</v>
      </c>
      <c r="M19" s="61">
        <f>Arrivi!L19/365</f>
        <v>3.8156164383561646</v>
      </c>
    </row>
    <row r="20" spans="1:13" x14ac:dyDescent="0.25">
      <c r="A20" s="6"/>
      <c r="B20" s="56" t="s">
        <v>18</v>
      </c>
      <c r="C20" s="4">
        <f>AVERAGE(Dati_OPTN!C20:H20)</f>
        <v>1.6666666666666667</v>
      </c>
      <c r="D20" s="61">
        <f>Arrivi!$C20/365</f>
        <v>4.5662100456621011E-3</v>
      </c>
      <c r="F20" s="36"/>
      <c r="G20" s="56" t="s">
        <v>18</v>
      </c>
      <c r="H20" s="61">
        <f>Dati_OPTN!C20/365</f>
        <v>5.4794520547945206E-3</v>
      </c>
      <c r="I20" s="4"/>
      <c r="J20" s="6"/>
      <c r="K20" s="56" t="s">
        <v>18</v>
      </c>
      <c r="L20" s="74">
        <f>AVERAGE(Dati_OPTN!C20:L20)</f>
        <v>1.5</v>
      </c>
      <c r="M20" s="61">
        <f>Arrivi!L20/365</f>
        <v>4.10958904109589E-3</v>
      </c>
    </row>
    <row r="21" spans="1:13" x14ac:dyDescent="0.25">
      <c r="A21" s="6"/>
      <c r="B21" s="56" t="s">
        <v>20</v>
      </c>
      <c r="C21" s="4">
        <f>AVERAGE(Dati_OPTN!C21:H21)</f>
        <v>1051.1666666666667</v>
      </c>
      <c r="D21" s="61">
        <f>Arrivi!$C21/365</f>
        <v>2.8799086757990868</v>
      </c>
      <c r="F21" s="36"/>
      <c r="G21" s="56" t="s">
        <v>20</v>
      </c>
      <c r="H21" s="61">
        <f>Dati_OPTN!C21/365</f>
        <v>3.1780821917808217</v>
      </c>
      <c r="I21" s="4"/>
      <c r="J21" s="6"/>
      <c r="K21" s="56" t="s">
        <v>20</v>
      </c>
      <c r="L21" s="74">
        <f>AVERAGE(Dati_OPTN!C21:L21)</f>
        <v>992</v>
      </c>
      <c r="M21" s="61">
        <f>Arrivi!L21/365</f>
        <v>2.7178082191780821</v>
      </c>
    </row>
    <row r="22" spans="1:13" x14ac:dyDescent="0.25">
      <c r="A22" s="55"/>
      <c r="B22" s="57" t="s">
        <v>22</v>
      </c>
      <c r="C22" s="70">
        <f>AVERAGE(Dati_OPTN!C22:H22)</f>
        <v>372</v>
      </c>
      <c r="D22" s="62">
        <f>Arrivi!$C22/365</f>
        <v>1.0191780821917809</v>
      </c>
      <c r="F22" s="38"/>
      <c r="G22" s="57" t="s">
        <v>22</v>
      </c>
      <c r="H22" s="62">
        <f>Dati_OPTN!C22/365</f>
        <v>1.178082191780822</v>
      </c>
      <c r="I22" s="4"/>
      <c r="J22" s="55"/>
      <c r="K22" s="57" t="s">
        <v>22</v>
      </c>
      <c r="L22" s="75">
        <f>AVERAGE(Dati_OPTN!C22:L22)</f>
        <v>399.2</v>
      </c>
      <c r="M22" s="62">
        <f>Arrivi!L22/365</f>
        <v>1.0936986301369862</v>
      </c>
    </row>
    <row r="23" spans="1:13" ht="15.75" thickBot="1" x14ac:dyDescent="0.3">
      <c r="A23" s="2"/>
      <c r="B23" s="2"/>
    </row>
    <row r="24" spans="1:13" x14ac:dyDescent="0.25">
      <c r="A24" s="98" t="s">
        <v>197</v>
      </c>
      <c r="B24" s="99"/>
      <c r="C24" s="99"/>
      <c r="D24" s="100"/>
      <c r="F24" s="98" t="s">
        <v>39</v>
      </c>
      <c r="G24" s="99"/>
      <c r="H24" s="100"/>
      <c r="J24" s="98" t="s">
        <v>209</v>
      </c>
      <c r="K24" s="99"/>
      <c r="L24" s="99"/>
      <c r="M24" s="100"/>
    </row>
    <row r="25" spans="1:13" x14ac:dyDescent="0.25">
      <c r="A25" s="58" t="s">
        <v>2</v>
      </c>
      <c r="B25" s="59" t="s">
        <v>40</v>
      </c>
      <c r="C25" s="60" t="s">
        <v>198</v>
      </c>
      <c r="D25" s="59" t="s">
        <v>41</v>
      </c>
      <c r="F25" s="63" t="s">
        <v>2</v>
      </c>
      <c r="G25" s="59" t="s">
        <v>40</v>
      </c>
      <c r="H25" s="59" t="s">
        <v>41</v>
      </c>
      <c r="J25" s="58" t="s">
        <v>2</v>
      </c>
      <c r="K25" s="59" t="s">
        <v>40</v>
      </c>
      <c r="L25" s="60" t="s">
        <v>198</v>
      </c>
      <c r="M25" s="59" t="s">
        <v>41</v>
      </c>
    </row>
    <row r="26" spans="1:13" x14ac:dyDescent="0.25">
      <c r="A26" s="64" t="s">
        <v>15</v>
      </c>
      <c r="B26" s="65" t="s">
        <v>17</v>
      </c>
      <c r="C26" s="4">
        <f>AVERAGE(Dati_OPTN!P3:U3)</f>
        <v>15244.166666666666</v>
      </c>
      <c r="D26" s="61">
        <f t="shared" ref="D26:D40" si="0">C26/365</f>
        <v>41.764840182648399</v>
      </c>
      <c r="F26" s="64" t="s">
        <v>15</v>
      </c>
      <c r="G26" s="65" t="s">
        <v>17</v>
      </c>
      <c r="H26" s="61">
        <f>Dati_OPTN!P3/365</f>
        <v>49.364383561643834</v>
      </c>
      <c r="J26" s="64" t="s">
        <v>15</v>
      </c>
      <c r="K26" s="65" t="s">
        <v>17</v>
      </c>
      <c r="L26" s="72">
        <f>AVERAGE(Dati_OPTN!P3:Y3)</f>
        <v>14451.3</v>
      </c>
      <c r="M26" s="73">
        <f>L26/365</f>
        <v>39.592602739726026</v>
      </c>
    </row>
    <row r="27" spans="1:13" x14ac:dyDescent="0.25">
      <c r="A27" s="64"/>
      <c r="B27" s="65" t="s">
        <v>19</v>
      </c>
      <c r="C27" s="4">
        <f>AVERAGE(Dati_OPTN!P4:U4)</f>
        <v>9258.1666666666661</v>
      </c>
      <c r="D27" s="61">
        <f t="shared" si="0"/>
        <v>25.3648401826484</v>
      </c>
      <c r="F27" s="64"/>
      <c r="G27" s="65" t="s">
        <v>19</v>
      </c>
      <c r="H27" s="61">
        <f>Dati_OPTN!P4/365</f>
        <v>30.553424657534247</v>
      </c>
      <c r="J27" s="64"/>
      <c r="K27" s="65" t="s">
        <v>19</v>
      </c>
      <c r="L27" s="74">
        <f>AVERAGE(Dati_OPTN!P4:Y4)</f>
        <v>8519.2999999999993</v>
      </c>
      <c r="M27" s="61">
        <f t="shared" ref="M27:M40" si="1">L27/365</f>
        <v>23.340547945205479</v>
      </c>
    </row>
    <row r="28" spans="1:13" x14ac:dyDescent="0.25">
      <c r="A28" s="64"/>
      <c r="B28" s="65" t="s">
        <v>21</v>
      </c>
      <c r="C28" s="4">
        <f>AVERAGE(Dati_OPTN!P5:U5)</f>
        <v>5986</v>
      </c>
      <c r="D28" s="61">
        <f t="shared" si="0"/>
        <v>16.399999999999999</v>
      </c>
      <c r="F28" s="64"/>
      <c r="G28" s="65" t="s">
        <v>21</v>
      </c>
      <c r="H28" s="61">
        <f>Dati_OPTN!P5/365</f>
        <v>18.81095890410959</v>
      </c>
      <c r="J28" s="64"/>
      <c r="K28" s="65" t="s">
        <v>21</v>
      </c>
      <c r="L28" s="74">
        <f>AVERAGE(Dati_OPTN!P5:Y5)</f>
        <v>5932</v>
      </c>
      <c r="M28" s="61">
        <f t="shared" si="1"/>
        <v>16.252054794520546</v>
      </c>
    </row>
    <row r="29" spans="1:13" x14ac:dyDescent="0.25">
      <c r="A29" s="64" t="s">
        <v>23</v>
      </c>
      <c r="B29" s="65" t="s">
        <v>17</v>
      </c>
      <c r="C29" s="4">
        <f>AVERAGE(Dati_OPTN!P6:U6)</f>
        <v>8180.333333333333</v>
      </c>
      <c r="D29" s="61">
        <f t="shared" si="0"/>
        <v>22.411872146118721</v>
      </c>
      <c r="F29" s="64" t="s">
        <v>23</v>
      </c>
      <c r="G29" s="65" t="s">
        <v>17</v>
      </c>
      <c r="H29" s="61">
        <f>Dati_OPTN!P6/365</f>
        <v>26.36986301369863</v>
      </c>
      <c r="J29" s="64" t="s">
        <v>23</v>
      </c>
      <c r="K29" s="65" t="s">
        <v>17</v>
      </c>
      <c r="L29" s="74">
        <f>AVERAGE(Dati_OPTN!P6:Y6)</f>
        <v>7803.2</v>
      </c>
      <c r="M29" s="61">
        <f t="shared" si="1"/>
        <v>21.378630136986303</v>
      </c>
    </row>
    <row r="30" spans="1:13" x14ac:dyDescent="0.25">
      <c r="A30" s="64"/>
      <c r="B30" s="65" t="s">
        <v>19</v>
      </c>
      <c r="C30" s="4">
        <f>AVERAGE(Dati_OPTN!P7:U7)</f>
        <v>4419</v>
      </c>
      <c r="D30" s="61">
        <f t="shared" si="0"/>
        <v>12.106849315068493</v>
      </c>
      <c r="F30" s="64"/>
      <c r="G30" s="65" t="s">
        <v>19</v>
      </c>
      <c r="H30" s="61">
        <f>Dati_OPTN!P7/365</f>
        <v>14.580821917808219</v>
      </c>
      <c r="J30" s="64"/>
      <c r="K30" s="65" t="s">
        <v>19</v>
      </c>
      <c r="L30" s="74">
        <f>AVERAGE(Dati_OPTN!P7:Y7)</f>
        <v>4060.6</v>
      </c>
      <c r="M30" s="61">
        <f t="shared" si="1"/>
        <v>11.124931506849315</v>
      </c>
    </row>
    <row r="31" spans="1:13" x14ac:dyDescent="0.25">
      <c r="A31" s="64"/>
      <c r="B31" s="65" t="s">
        <v>21</v>
      </c>
      <c r="C31" s="4">
        <f>AVERAGE(Dati_OPTN!P8:U8)</f>
        <v>3761.3333333333335</v>
      </c>
      <c r="D31" s="61">
        <f t="shared" si="0"/>
        <v>10.305022831050229</v>
      </c>
      <c r="F31" s="64"/>
      <c r="G31" s="65" t="s">
        <v>21</v>
      </c>
      <c r="H31" s="61">
        <f>Dati_OPTN!P8/365</f>
        <v>11.789041095890411</v>
      </c>
      <c r="J31" s="64"/>
      <c r="K31" s="65" t="s">
        <v>21</v>
      </c>
      <c r="L31" s="74">
        <f>AVERAGE(Dati_OPTN!P8:Y8)</f>
        <v>3742.6</v>
      </c>
      <c r="M31" s="61">
        <f t="shared" si="1"/>
        <v>10.253698630136986</v>
      </c>
    </row>
    <row r="32" spans="1:13" x14ac:dyDescent="0.25">
      <c r="A32" s="64" t="s">
        <v>24</v>
      </c>
      <c r="B32" s="65" t="s">
        <v>17</v>
      </c>
      <c r="C32" s="4">
        <f>AVERAGE(Dati_OPTN!P9:U9)</f>
        <v>5087.5</v>
      </c>
      <c r="D32" s="61">
        <f t="shared" si="0"/>
        <v>13.938356164383562</v>
      </c>
      <c r="F32" s="64" t="s">
        <v>24</v>
      </c>
      <c r="G32" s="65" t="s">
        <v>17</v>
      </c>
      <c r="H32" s="61">
        <f>Dati_OPTN!P9/365</f>
        <v>16.482191780821918</v>
      </c>
      <c r="J32" s="64" t="s">
        <v>24</v>
      </c>
      <c r="K32" s="65" t="s">
        <v>17</v>
      </c>
      <c r="L32" s="74">
        <f>AVERAGE(Dati_OPTN!P9:Y9)</f>
        <v>4778.3999999999996</v>
      </c>
      <c r="M32" s="61">
        <f t="shared" si="1"/>
        <v>13.091506849315067</v>
      </c>
    </row>
    <row r="33" spans="1:13" x14ac:dyDescent="0.25">
      <c r="A33" s="64"/>
      <c r="B33" s="65" t="s">
        <v>19</v>
      </c>
      <c r="C33" s="4">
        <f>AVERAGE(Dati_OPTN!P10:U10)</f>
        <v>3430.5</v>
      </c>
      <c r="D33" s="61">
        <f t="shared" si="0"/>
        <v>9.3986301369863021</v>
      </c>
      <c r="F33" s="64"/>
      <c r="G33" s="65" t="s">
        <v>19</v>
      </c>
      <c r="H33" s="61">
        <f>Dati_OPTN!P10/365</f>
        <v>11.306849315068494</v>
      </c>
      <c r="J33" s="64"/>
      <c r="K33" s="65" t="s">
        <v>19</v>
      </c>
      <c r="L33" s="74">
        <f>AVERAGE(Dati_OPTN!P10:Y10)</f>
        <v>3151.7</v>
      </c>
      <c r="M33" s="61">
        <f t="shared" si="1"/>
        <v>8.6347945205479455</v>
      </c>
    </row>
    <row r="34" spans="1:13" x14ac:dyDescent="0.25">
      <c r="A34" s="64"/>
      <c r="B34" s="65" t="s">
        <v>21</v>
      </c>
      <c r="C34" s="4">
        <f>AVERAGE(Dati_OPTN!P11:U11)</f>
        <v>1657</v>
      </c>
      <c r="D34" s="61">
        <f t="shared" si="0"/>
        <v>4.5397260273972604</v>
      </c>
      <c r="F34" s="64"/>
      <c r="G34" s="65" t="s">
        <v>21</v>
      </c>
      <c r="H34" s="61">
        <f>Dati_OPTN!P11/365</f>
        <v>5.1753424657534248</v>
      </c>
      <c r="J34" s="64"/>
      <c r="K34" s="65" t="s">
        <v>21</v>
      </c>
      <c r="L34" s="74">
        <f>AVERAGE(Dati_OPTN!P11:Y11)</f>
        <v>1626.7</v>
      </c>
      <c r="M34" s="61">
        <f t="shared" si="1"/>
        <v>4.4567123287671233</v>
      </c>
    </row>
    <row r="35" spans="1:13" x14ac:dyDescent="0.25">
      <c r="A35" s="64" t="s">
        <v>25</v>
      </c>
      <c r="B35" s="65" t="s">
        <v>17</v>
      </c>
      <c r="C35" s="4">
        <f>AVERAGE(Dati_OPTN!P12:U12)</f>
        <v>1578.3333333333333</v>
      </c>
      <c r="D35" s="61">
        <f t="shared" si="0"/>
        <v>4.3242009132420085</v>
      </c>
      <c r="F35" s="64" t="s">
        <v>25</v>
      </c>
      <c r="G35" s="65" t="s">
        <v>17</v>
      </c>
      <c r="H35" s="61">
        <f>Dati_OPTN!P12/365</f>
        <v>5.1369863013698627</v>
      </c>
      <c r="J35" s="64" t="s">
        <v>25</v>
      </c>
      <c r="K35" s="65" t="s">
        <v>17</v>
      </c>
      <c r="L35" s="74">
        <f>AVERAGE(Dati_OPTN!P12:Y12)</f>
        <v>1500.9</v>
      </c>
      <c r="M35" s="61">
        <f t="shared" si="1"/>
        <v>4.1120547945205486</v>
      </c>
    </row>
    <row r="36" spans="1:13" x14ac:dyDescent="0.25">
      <c r="A36" s="64"/>
      <c r="B36" s="65" t="s">
        <v>19</v>
      </c>
      <c r="C36" s="4">
        <f>AVERAGE(Dati_OPTN!P13:U13)</f>
        <v>1090.5</v>
      </c>
      <c r="D36" s="61">
        <f t="shared" si="0"/>
        <v>2.9876712328767123</v>
      </c>
      <c r="F36" s="64"/>
      <c r="G36" s="65" t="s">
        <v>19</v>
      </c>
      <c r="H36" s="61">
        <f>Dati_OPTN!P13/365</f>
        <v>3.5972602739726027</v>
      </c>
      <c r="J36" s="64"/>
      <c r="K36" s="65" t="s">
        <v>19</v>
      </c>
      <c r="L36" s="74">
        <f>AVERAGE(Dati_OPTN!P13:Y13)</f>
        <v>1013.7</v>
      </c>
      <c r="M36" s="61">
        <f t="shared" si="1"/>
        <v>2.7772602739726029</v>
      </c>
    </row>
    <row r="37" spans="1:13" x14ac:dyDescent="0.25">
      <c r="A37" s="64"/>
      <c r="B37" s="65" t="s">
        <v>21</v>
      </c>
      <c r="C37" s="4">
        <f>AVERAGE(Dati_OPTN!P14:U14)</f>
        <v>487.83333333333331</v>
      </c>
      <c r="D37" s="61">
        <f t="shared" si="0"/>
        <v>1.3365296803652968</v>
      </c>
      <c r="F37" s="64"/>
      <c r="G37" s="65" t="s">
        <v>21</v>
      </c>
      <c r="H37" s="61">
        <f>Dati_OPTN!P14/365</f>
        <v>1.5397260273972602</v>
      </c>
      <c r="J37" s="64"/>
      <c r="K37" s="65" t="s">
        <v>21</v>
      </c>
      <c r="L37" s="74">
        <f>AVERAGE(Dati_OPTN!P14:Y14)</f>
        <v>487.2</v>
      </c>
      <c r="M37" s="61">
        <f t="shared" si="1"/>
        <v>1.3347945205479452</v>
      </c>
    </row>
    <row r="38" spans="1:13" x14ac:dyDescent="0.25">
      <c r="A38" s="64" t="s">
        <v>26</v>
      </c>
      <c r="B38" s="65" t="s">
        <v>17</v>
      </c>
      <c r="C38" s="4">
        <f>AVERAGE(Dati_OPTN!P15:U15)</f>
        <v>398</v>
      </c>
      <c r="D38" s="61">
        <f t="shared" si="0"/>
        <v>1.0904109589041096</v>
      </c>
      <c r="F38" s="64" t="s">
        <v>26</v>
      </c>
      <c r="G38" s="65" t="s">
        <v>17</v>
      </c>
      <c r="H38" s="61">
        <f>Dati_OPTN!P15/365</f>
        <v>1.3753424657534246</v>
      </c>
      <c r="J38" s="64" t="s">
        <v>26</v>
      </c>
      <c r="K38" s="65" t="s">
        <v>17</v>
      </c>
      <c r="L38" s="74">
        <f>AVERAGE(Dati_OPTN!P15:Y15)</f>
        <v>368.8</v>
      </c>
      <c r="M38" s="61">
        <f t="shared" si="1"/>
        <v>1.0104109589041097</v>
      </c>
    </row>
    <row r="39" spans="1:13" x14ac:dyDescent="0.25">
      <c r="A39" s="64"/>
      <c r="B39" s="65" t="s">
        <v>19</v>
      </c>
      <c r="C39" s="4">
        <f>AVERAGE(Dati_OPTN!P16:U16)</f>
        <v>318.16666666666669</v>
      </c>
      <c r="D39" s="61">
        <f t="shared" si="0"/>
        <v>0.87168949771689508</v>
      </c>
      <c r="F39" s="64"/>
      <c r="G39" s="65" t="s">
        <v>19</v>
      </c>
      <c r="H39" s="61">
        <f>Dati_OPTN!P16/365</f>
        <v>1.0684931506849316</v>
      </c>
      <c r="J39" s="64"/>
      <c r="K39" s="65" t="s">
        <v>19</v>
      </c>
      <c r="L39" s="74">
        <f>AVERAGE(Dati_OPTN!P16:Y16)</f>
        <v>293.3</v>
      </c>
      <c r="M39" s="61">
        <f t="shared" si="1"/>
        <v>0.80356164383561646</v>
      </c>
    </row>
    <row r="40" spans="1:13" x14ac:dyDescent="0.25">
      <c r="A40" s="66"/>
      <c r="B40" s="67" t="s">
        <v>21</v>
      </c>
      <c r="C40" s="70">
        <f>AVERAGE(Dati_OPTN!P17:U17)</f>
        <v>79.833333333333329</v>
      </c>
      <c r="D40" s="62">
        <f t="shared" si="0"/>
        <v>0.21872146118721461</v>
      </c>
      <c r="F40" s="66"/>
      <c r="G40" s="67" t="s">
        <v>21</v>
      </c>
      <c r="H40" s="62">
        <f>Dati_OPTN!P17/365</f>
        <v>0.30684931506849317</v>
      </c>
      <c r="J40" s="66"/>
      <c r="K40" s="67" t="s">
        <v>21</v>
      </c>
      <c r="L40" s="75">
        <f>AVERAGE(Dati_OPTN!P17:Y17)</f>
        <v>75.5</v>
      </c>
      <c r="M40" s="62">
        <f t="shared" si="1"/>
        <v>0.20684931506849316</v>
      </c>
    </row>
  </sheetData>
  <mergeCells count="6"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8"/>
  <sheetViews>
    <sheetView zoomScaleNormal="100" workbookViewId="0">
      <selection activeCell="U54" sqref="U54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</cols>
  <sheetData>
    <row r="1" spans="1:16" x14ac:dyDescent="0.25">
      <c r="A1" s="101" t="s">
        <v>199</v>
      </c>
      <c r="B1" s="101"/>
      <c r="C1" s="101"/>
      <c r="D1" s="101"/>
      <c r="E1" s="104"/>
      <c r="G1" s="101" t="s">
        <v>42</v>
      </c>
      <c r="H1" s="105"/>
      <c r="I1" s="105"/>
      <c r="J1" s="106"/>
      <c r="L1" s="101" t="s">
        <v>210</v>
      </c>
      <c r="M1" s="101"/>
      <c r="N1" s="101"/>
      <c r="O1" s="101"/>
      <c r="P1" s="104"/>
    </row>
    <row r="2" spans="1:16" x14ac:dyDescent="0.25">
      <c r="A2" s="63" t="s">
        <v>2</v>
      </c>
      <c r="B2" s="68" t="s">
        <v>3</v>
      </c>
      <c r="C2" s="69" t="s">
        <v>200</v>
      </c>
      <c r="D2" s="69" t="s">
        <v>44</v>
      </c>
      <c r="E2" s="88" t="s">
        <v>43</v>
      </c>
      <c r="G2" s="63" t="s">
        <v>2</v>
      </c>
      <c r="H2" s="69" t="s">
        <v>3</v>
      </c>
      <c r="I2" s="63" t="s">
        <v>44</v>
      </c>
      <c r="J2" s="88" t="s">
        <v>43</v>
      </c>
      <c r="L2" s="63" t="s">
        <v>2</v>
      </c>
      <c r="M2" s="68" t="s">
        <v>3</v>
      </c>
      <c r="N2" s="63" t="s">
        <v>200</v>
      </c>
      <c r="O2" s="69" t="s">
        <v>44</v>
      </c>
      <c r="P2" s="88" t="s">
        <v>43</v>
      </c>
    </row>
    <row r="3" spans="1:16" x14ac:dyDescent="0.25">
      <c r="A3" s="6" t="s">
        <v>15</v>
      </c>
      <c r="B3" s="56" t="s">
        <v>16</v>
      </c>
      <c r="C3" s="4">
        <f>AVERAGE(Dati_OPTN!C26:H26)</f>
        <v>4495.833333333333</v>
      </c>
      <c r="D3" s="4">
        <f>Uscite!$C3/365</f>
        <v>12.317351598173515</v>
      </c>
      <c r="E3" s="89">
        <f>Uscite!$C3/Arrivi!$C3</f>
        <v>0.12023195072161455</v>
      </c>
      <c r="G3" s="6" t="s">
        <v>15</v>
      </c>
      <c r="H3" s="2" t="s">
        <v>16</v>
      </c>
      <c r="I3" s="86">
        <f>Dati_OPTN!C26/365</f>
        <v>10.832876712328767</v>
      </c>
      <c r="J3" s="89">
        <f>I3/Arrivi!H3</f>
        <v>9.5205990705737889E-2</v>
      </c>
      <c r="L3" s="6" t="s">
        <v>15</v>
      </c>
      <c r="M3" s="56" t="s">
        <v>16</v>
      </c>
      <c r="N3" s="74">
        <f>AVERAGE(Dati_OPTN!C26:L26)</f>
        <v>4596.8</v>
      </c>
      <c r="O3" s="4">
        <f>N3/365</f>
        <v>12.593972602739727</v>
      </c>
      <c r="P3" s="89">
        <f>N3/Arrivi!$C3</f>
        <v>0.12293209959083251</v>
      </c>
    </row>
    <row r="4" spans="1:16" x14ac:dyDescent="0.25">
      <c r="A4" s="6"/>
      <c r="B4" s="56" t="s">
        <v>18</v>
      </c>
      <c r="C4" s="4">
        <f>AVERAGE(Dati_OPTN!C27:H27)</f>
        <v>1.3333333333333333</v>
      </c>
      <c r="D4" s="4">
        <f>Uscite!$C4/365</f>
        <v>3.6529680365296802E-3</v>
      </c>
      <c r="E4" s="89">
        <f>Uscite!$C4/Arrivi!$C4</f>
        <v>3.5714285714285712E-2</v>
      </c>
      <c r="G4" s="6"/>
      <c r="H4" s="2" t="s">
        <v>18</v>
      </c>
      <c r="I4" s="86">
        <f>Dati_OPTN!C27/365</f>
        <v>2.7397260273972603E-3</v>
      </c>
      <c r="J4" s="89">
        <f>I4/Arrivi!H4</f>
        <v>2.4390243902439025E-2</v>
      </c>
      <c r="L4" s="6"/>
      <c r="M4" s="56" t="s">
        <v>18</v>
      </c>
      <c r="N4" s="74">
        <f>AVERAGE(Dati_OPTN!C27:L27)</f>
        <v>3.1</v>
      </c>
      <c r="O4" s="4">
        <f t="shared" ref="O4:O22" si="0">N4/365</f>
        <v>8.493150684931507E-3</v>
      </c>
      <c r="P4" s="89">
        <f>N4/Arrivi!$C4</f>
        <v>8.3035714285714282E-2</v>
      </c>
    </row>
    <row r="5" spans="1:16" x14ac:dyDescent="0.25">
      <c r="A5" s="6"/>
      <c r="B5" s="56" t="s">
        <v>20</v>
      </c>
      <c r="C5" s="4">
        <f>AVERAGE(Dati_OPTN!C28:H28)</f>
        <v>1681</v>
      </c>
      <c r="D5" s="4">
        <f>Uscite!$C5/365</f>
        <v>4.6054794520547944</v>
      </c>
      <c r="E5" s="89">
        <f>Uscite!$C5/Arrivi!$C5</f>
        <v>6.0025352766486739E-2</v>
      </c>
      <c r="G5" s="6"/>
      <c r="H5" s="2" t="s">
        <v>20</v>
      </c>
      <c r="I5" s="86">
        <f>Dati_OPTN!C28/365</f>
        <v>4.2356164383561641</v>
      </c>
      <c r="J5" s="89">
        <f>I5/Arrivi!H5</f>
        <v>4.9638786322042057E-2</v>
      </c>
      <c r="L5" s="6"/>
      <c r="M5" s="56" t="s">
        <v>20</v>
      </c>
      <c r="N5" s="74">
        <f>AVERAGE(Dati_OPTN!C28:L28)</f>
        <v>1736.3</v>
      </c>
      <c r="O5" s="4">
        <f t="shared" si="0"/>
        <v>4.7569863013698628</v>
      </c>
      <c r="P5" s="89">
        <f>N5/Arrivi!$C5</f>
        <v>6.2000011902707271E-2</v>
      </c>
    </row>
    <row r="6" spans="1:16" x14ac:dyDescent="0.25">
      <c r="A6" s="6"/>
      <c r="B6" s="56" t="s">
        <v>22</v>
      </c>
      <c r="C6" s="4">
        <f>AVERAGE(Dati_OPTN!C29:H29)</f>
        <v>2813.5</v>
      </c>
      <c r="D6" s="4">
        <f>Uscite!$C6/365</f>
        <v>7.7082191780821914</v>
      </c>
      <c r="E6" s="89">
        <f>Uscite!$C6/Arrivi!$C6</f>
        <v>0.30088227430710274</v>
      </c>
      <c r="G6" s="6"/>
      <c r="H6" s="2" t="s">
        <v>22</v>
      </c>
      <c r="I6" s="86">
        <f>Dati_OPTN!C29/365</f>
        <v>6.5945205479452058</v>
      </c>
      <c r="J6" s="89">
        <f>I6/Arrivi!H6</f>
        <v>0.23267278878685355</v>
      </c>
      <c r="L6" s="6"/>
      <c r="M6" s="56" t="s">
        <v>22</v>
      </c>
      <c r="N6" s="74">
        <f>AVERAGE(Dati_OPTN!C29:L29)</f>
        <v>2857.4</v>
      </c>
      <c r="O6" s="4">
        <f t="shared" si="0"/>
        <v>7.828493150684932</v>
      </c>
      <c r="P6" s="89">
        <f>N6/Arrivi!$C6</f>
        <v>0.30557704304429195</v>
      </c>
    </row>
    <row r="7" spans="1:16" x14ac:dyDescent="0.25">
      <c r="A7" s="6" t="s">
        <v>23</v>
      </c>
      <c r="B7" s="56" t="s">
        <v>16</v>
      </c>
      <c r="C7" s="4">
        <f>AVERAGE(Dati_OPTN!C30:H30)</f>
        <v>2355.5</v>
      </c>
      <c r="D7" s="4">
        <f>Uscite!$C7/365</f>
        <v>6.4534246575342467</v>
      </c>
      <c r="E7" s="89">
        <f>Uscite!$C7/Arrivi!$C7</f>
        <v>0.12915813715455476</v>
      </c>
      <c r="G7" s="6" t="s">
        <v>23</v>
      </c>
      <c r="H7" s="2" t="s">
        <v>16</v>
      </c>
      <c r="I7" s="86">
        <f>Dati_OPTN!C30/365</f>
        <v>5.8575342465753426</v>
      </c>
      <c r="J7" s="89">
        <f>I7/Arrivi!H7</f>
        <v>0.10512341429835775</v>
      </c>
      <c r="L7" s="6" t="s">
        <v>23</v>
      </c>
      <c r="M7" s="56" t="s">
        <v>16</v>
      </c>
      <c r="N7" s="74">
        <f>AVERAGE(Dati_OPTN!C30:L30)</f>
        <v>2399.5</v>
      </c>
      <c r="O7" s="4">
        <f t="shared" si="0"/>
        <v>6.5739726027397261</v>
      </c>
      <c r="P7" s="89">
        <f>N7/Arrivi!$C7</f>
        <v>0.13157077058049424</v>
      </c>
    </row>
    <row r="8" spans="1:16" x14ac:dyDescent="0.25">
      <c r="A8" s="6"/>
      <c r="B8" s="56" t="s">
        <v>18</v>
      </c>
      <c r="C8" s="4">
        <f>AVERAGE(Dati_OPTN!C31:H31)</f>
        <v>1</v>
      </c>
      <c r="D8" s="4">
        <f>Uscite!$C8/365</f>
        <v>2.7397260273972603E-3</v>
      </c>
      <c r="E8" s="89">
        <f>Uscite!$C8/Arrivi!$C8</f>
        <v>5.2631578947368418E-2</v>
      </c>
      <c r="G8" s="6"/>
      <c r="H8" s="2" t="s">
        <v>18</v>
      </c>
      <c r="I8" s="86">
        <f>Dati_OPTN!C31/365</f>
        <v>2.7397260273972603E-3</v>
      </c>
      <c r="J8" s="89">
        <f>I8/Arrivi!H8</f>
        <v>5.2631578947368418E-2</v>
      </c>
      <c r="L8" s="6"/>
      <c r="M8" s="56" t="s">
        <v>18</v>
      </c>
      <c r="N8" s="74">
        <f>AVERAGE(Dati_OPTN!C31:L31)</f>
        <v>1.5</v>
      </c>
      <c r="O8" s="4">
        <f t="shared" si="0"/>
        <v>4.10958904109589E-3</v>
      </c>
      <c r="P8" s="89">
        <f>N8/Arrivi!$C8</f>
        <v>7.8947368421052627E-2</v>
      </c>
    </row>
    <row r="9" spans="1:16" x14ac:dyDescent="0.25">
      <c r="A9" s="6"/>
      <c r="B9" s="56" t="s">
        <v>20</v>
      </c>
      <c r="C9" s="4">
        <f>AVERAGE(Dati_OPTN!C32:H32)</f>
        <v>913.83333333333337</v>
      </c>
      <c r="D9" s="4">
        <f>Uscite!$C9/365</f>
        <v>2.5036529680365298</v>
      </c>
      <c r="E9" s="89">
        <f>Uscite!$C9/Arrivi!$C9</f>
        <v>6.6444498303441596E-2</v>
      </c>
      <c r="G9" s="6"/>
      <c r="H9" s="2" t="s">
        <v>20</v>
      </c>
      <c r="I9" s="86">
        <f>Dati_OPTN!C32/365</f>
        <v>2.3945205479452056</v>
      </c>
      <c r="J9" s="89">
        <f>I9/Arrivi!H9</f>
        <v>5.6819659342088158E-2</v>
      </c>
      <c r="L9" s="6"/>
      <c r="M9" s="56" t="s">
        <v>20</v>
      </c>
      <c r="N9" s="74">
        <f>AVERAGE(Dati_OPTN!C32:L32)</f>
        <v>938.3</v>
      </c>
      <c r="O9" s="4">
        <f t="shared" si="0"/>
        <v>2.5706849315068494</v>
      </c>
      <c r="P9" s="89">
        <f>N9/Arrivi!$C9</f>
        <v>6.8223460979156561E-2</v>
      </c>
    </row>
    <row r="10" spans="1:16" x14ac:dyDescent="0.25">
      <c r="A10" s="6"/>
      <c r="B10" s="56" t="s">
        <v>22</v>
      </c>
      <c r="C10" s="4">
        <f>AVERAGE(Dati_OPTN!C33:H33)</f>
        <v>1440.6666666666667</v>
      </c>
      <c r="D10" s="4">
        <f>Uscite!$C10/365</f>
        <v>3.9470319634703199</v>
      </c>
      <c r="E10" s="89">
        <f>Uscite!$C10/Arrivi!$C10</f>
        <v>0.32265770810003735</v>
      </c>
      <c r="G10" s="6"/>
      <c r="H10" s="2" t="s">
        <v>22</v>
      </c>
      <c r="I10" s="86">
        <f>Dati_OPTN!C33/365</f>
        <v>3.4602739726027396</v>
      </c>
      <c r="J10" s="89">
        <f>I10/Arrivi!H10</f>
        <v>0.25582337451893861</v>
      </c>
      <c r="L10" s="6"/>
      <c r="M10" s="56" t="s">
        <v>22</v>
      </c>
      <c r="N10" s="74">
        <f>AVERAGE(Dati_OPTN!C33:L33)</f>
        <v>1459.7</v>
      </c>
      <c r="O10" s="4">
        <f t="shared" si="0"/>
        <v>3.9991780821917811</v>
      </c>
      <c r="P10" s="89">
        <f>N10/Arrivi!$C10</f>
        <v>0.32692049272116463</v>
      </c>
    </row>
    <row r="11" spans="1:16" x14ac:dyDescent="0.25">
      <c r="A11" s="6" t="s">
        <v>24</v>
      </c>
      <c r="B11" s="56" t="s">
        <v>16</v>
      </c>
      <c r="C11" s="4">
        <f>AVERAGE(Dati_OPTN!C34:H34)</f>
        <v>1294</v>
      </c>
      <c r="D11" s="4">
        <f>Uscite!$C11/365</f>
        <v>3.5452054794520547</v>
      </c>
      <c r="E11" s="89">
        <f>Uscite!$C11/Arrivi!$C11</f>
        <v>0.10634305359613198</v>
      </c>
      <c r="G11" s="6" t="s">
        <v>24</v>
      </c>
      <c r="H11" s="2" t="s">
        <v>16</v>
      </c>
      <c r="I11" s="86">
        <f>Dati_OPTN!C34/365</f>
        <v>2.9150684931506849</v>
      </c>
      <c r="J11" s="89">
        <f>I11/Arrivi!H11</f>
        <v>7.9084287200832465E-2</v>
      </c>
      <c r="L11" s="6" t="s">
        <v>24</v>
      </c>
      <c r="M11" s="56" t="s">
        <v>16</v>
      </c>
      <c r="N11" s="74">
        <f>AVERAGE(Dati_OPTN!C34:L34)</f>
        <v>1333.8</v>
      </c>
      <c r="O11" s="4">
        <f t="shared" si="0"/>
        <v>3.6542465753424658</v>
      </c>
      <c r="P11" s="89">
        <f>N11/Arrivi!$C11</f>
        <v>0.109613883219877</v>
      </c>
    </row>
    <row r="12" spans="1:16" x14ac:dyDescent="0.25">
      <c r="A12" s="6"/>
      <c r="B12" s="56" t="s">
        <v>18</v>
      </c>
      <c r="C12" s="4">
        <f>AVERAGE(Dati_OPTN!C35:H35)</f>
        <v>0.33333333333333331</v>
      </c>
      <c r="D12" s="4">
        <f>Uscite!$C12/365</f>
        <v>9.1324200913242006E-4</v>
      </c>
      <c r="E12" s="89">
        <f>Uscite!$C12/Arrivi!$C12</f>
        <v>3.125E-2</v>
      </c>
      <c r="G12" s="6"/>
      <c r="H12" s="2" t="s">
        <v>18</v>
      </c>
      <c r="I12" s="86">
        <f>Dati_OPTN!C35/365</f>
        <v>0</v>
      </c>
      <c r="J12" s="89">
        <f>I12/Arrivi!H12</f>
        <v>0</v>
      </c>
      <c r="L12" s="6"/>
      <c r="M12" s="56" t="s">
        <v>18</v>
      </c>
      <c r="N12" s="74">
        <f>AVERAGE(Dati_OPTN!C35:L35)</f>
        <v>1</v>
      </c>
      <c r="O12" s="4">
        <f t="shared" si="0"/>
        <v>2.7397260273972603E-3</v>
      </c>
      <c r="P12" s="89">
        <f>N12/Arrivi!$C12</f>
        <v>9.375E-2</v>
      </c>
    </row>
    <row r="13" spans="1:16" x14ac:dyDescent="0.25">
      <c r="A13" s="6"/>
      <c r="B13" s="56" t="s">
        <v>20</v>
      </c>
      <c r="C13" s="4">
        <f>AVERAGE(Dati_OPTN!C36:H36)</f>
        <v>445.5</v>
      </c>
      <c r="D13" s="4">
        <f>Uscite!$C13/365</f>
        <v>1.2205479452054795</v>
      </c>
      <c r="E13" s="89">
        <f>Uscite!$C13/Arrivi!$C13</f>
        <v>4.9482589459264335E-2</v>
      </c>
      <c r="G13" s="6"/>
      <c r="H13" s="2" t="s">
        <v>20</v>
      </c>
      <c r="I13" s="86">
        <f>Dati_OPTN!C36/365</f>
        <v>1.0082191780821919</v>
      </c>
      <c r="J13" s="89">
        <f>I13/Arrivi!H13</f>
        <v>3.7115481593545135E-2</v>
      </c>
      <c r="L13" s="6"/>
      <c r="M13" s="56" t="s">
        <v>20</v>
      </c>
      <c r="N13" s="74">
        <f>AVERAGE(Dati_OPTN!C36:L36)</f>
        <v>469.5</v>
      </c>
      <c r="O13" s="4">
        <f t="shared" si="0"/>
        <v>1.2863013698630137</v>
      </c>
      <c r="P13" s="89">
        <f>N13/Arrivi!$C13</f>
        <v>5.2148318184342547E-2</v>
      </c>
    </row>
    <row r="14" spans="1:16" x14ac:dyDescent="0.25">
      <c r="A14" s="6"/>
      <c r="B14" s="56" t="s">
        <v>22</v>
      </c>
      <c r="C14" s="4">
        <f>AVERAGE(Dati_OPTN!C37:H37)</f>
        <v>848.16666666666663</v>
      </c>
      <c r="D14" s="4">
        <f>Uscite!$C14/365</f>
        <v>2.3237442922374427</v>
      </c>
      <c r="E14" s="89">
        <f>Uscite!$C14/Arrivi!$C14</f>
        <v>0.26888935855436963</v>
      </c>
      <c r="G14" s="6"/>
      <c r="H14" s="2" t="s">
        <v>22</v>
      </c>
      <c r="I14" s="86">
        <f>Dati_OPTN!C37/365</f>
        <v>1.9068493150684931</v>
      </c>
      <c r="J14" s="89">
        <f>I14/Arrivi!H14</f>
        <v>0.19722300935109097</v>
      </c>
      <c r="L14" s="6"/>
      <c r="M14" s="56" t="s">
        <v>22</v>
      </c>
      <c r="N14" s="74">
        <f>AVERAGE(Dati_OPTN!C37:L37)</f>
        <v>863.3</v>
      </c>
      <c r="O14" s="4">
        <f t="shared" si="0"/>
        <v>2.3652054794520545</v>
      </c>
      <c r="P14" s="89">
        <f>N14/Arrivi!$C14</f>
        <v>0.27368699144034658</v>
      </c>
    </row>
    <row r="15" spans="1:16" x14ac:dyDescent="0.25">
      <c r="A15" s="6" t="s">
        <v>25</v>
      </c>
      <c r="B15" s="56" t="s">
        <v>16</v>
      </c>
      <c r="C15" s="4">
        <f>AVERAGE(Dati_OPTN!C38:H38)</f>
        <v>725.66666666666663</v>
      </c>
      <c r="D15" s="4">
        <f>Uscite!$C15/365</f>
        <v>1.9881278538812783</v>
      </c>
      <c r="E15" s="89">
        <f>Uscite!$C15/Arrivi!$C15</f>
        <v>0.13043348012342348</v>
      </c>
      <c r="G15" s="6" t="s">
        <v>25</v>
      </c>
      <c r="H15" s="2" t="s">
        <v>16</v>
      </c>
      <c r="I15" s="86">
        <f>Dati_OPTN!C38/365</f>
        <v>1.7863013698630137</v>
      </c>
      <c r="J15" s="89">
        <f>I15/Arrivi!H15</f>
        <v>0.10605074821080027</v>
      </c>
      <c r="L15" s="6" t="s">
        <v>25</v>
      </c>
      <c r="M15" s="56" t="s">
        <v>16</v>
      </c>
      <c r="N15" s="74">
        <f>AVERAGE(Dati_OPTN!C38:L38)</f>
        <v>733.9</v>
      </c>
      <c r="O15" s="4">
        <f t="shared" si="0"/>
        <v>2.0106849315068493</v>
      </c>
      <c r="P15" s="89">
        <f>N15/Arrivi!$C15</f>
        <v>0.13191336388963781</v>
      </c>
    </row>
    <row r="16" spans="1:16" x14ac:dyDescent="0.25">
      <c r="A16" s="6"/>
      <c r="B16" s="56" t="s">
        <v>18</v>
      </c>
      <c r="C16" s="4">
        <f>AVERAGE(Dati_OPTN!C39:H39)</f>
        <v>0</v>
      </c>
      <c r="D16" s="4">
        <f>Uscite!$C16/365</f>
        <v>0</v>
      </c>
      <c r="E16" s="89">
        <f>Uscite!$C16/Arrivi!$C16</f>
        <v>0</v>
      </c>
      <c r="G16" s="6"/>
      <c r="H16" s="2" t="s">
        <v>18</v>
      </c>
      <c r="I16" s="86">
        <f>Dati_OPTN!C39/365</f>
        <v>0</v>
      </c>
      <c r="J16" s="89">
        <f>I16/Arrivi!H16</f>
        <v>0</v>
      </c>
      <c r="L16" s="6"/>
      <c r="M16" s="56" t="s">
        <v>18</v>
      </c>
      <c r="N16" s="74">
        <f>AVERAGE(Dati_OPTN!C39:L39)</f>
        <v>0.5</v>
      </c>
      <c r="O16" s="4">
        <f t="shared" si="0"/>
        <v>1.3698630136986301E-3</v>
      </c>
      <c r="P16" s="89">
        <f>N16/Arrivi!$C16</f>
        <v>8.3333333333333329E-2</v>
      </c>
    </row>
    <row r="17" spans="1:16" x14ac:dyDescent="0.25">
      <c r="A17" s="6"/>
      <c r="B17" s="56" t="s">
        <v>20</v>
      </c>
      <c r="C17" s="4">
        <f>AVERAGE(Dati_OPTN!C40:H40)</f>
        <v>283.16666666666669</v>
      </c>
      <c r="D17" s="4">
        <f>Uscite!$C17/365</f>
        <v>0.77579908675799092</v>
      </c>
      <c r="E17" s="89">
        <f>Uscite!$C17/Arrivi!$C17</f>
        <v>6.7452755280292209E-2</v>
      </c>
      <c r="G17" s="6"/>
      <c r="H17" s="2" t="s">
        <v>20</v>
      </c>
      <c r="I17" s="86">
        <f>Dati_OPTN!C40/365</f>
        <v>0.73972602739726023</v>
      </c>
      <c r="J17" s="89">
        <f>I17/Arrivi!H17</f>
        <v>5.7581573896353162E-2</v>
      </c>
      <c r="L17" s="6"/>
      <c r="M17" s="56" t="s">
        <v>20</v>
      </c>
      <c r="N17" s="74">
        <f>AVERAGE(Dati_OPTN!C40:L40)</f>
        <v>285.60000000000002</v>
      </c>
      <c r="O17" s="4">
        <f t="shared" si="0"/>
        <v>0.78246575342465763</v>
      </c>
      <c r="P17" s="89">
        <f>N17/Arrivi!$C17</f>
        <v>6.8032396379228213E-2</v>
      </c>
    </row>
    <row r="18" spans="1:16" x14ac:dyDescent="0.25">
      <c r="A18" s="6"/>
      <c r="B18" s="56" t="s">
        <v>22</v>
      </c>
      <c r="C18" s="4">
        <f>AVERAGE(Dati_OPTN!C41:H41)</f>
        <v>442.5</v>
      </c>
      <c r="D18" s="4">
        <f>Uscite!$C18/365</f>
        <v>1.2123287671232876</v>
      </c>
      <c r="E18" s="89">
        <f>Uscite!$C18/Arrivi!$C18</f>
        <v>0.32548731151158516</v>
      </c>
      <c r="G18" s="6"/>
      <c r="H18" s="2" t="s">
        <v>22</v>
      </c>
      <c r="I18" s="86">
        <f>Dati_OPTN!C41/365</f>
        <v>1.0465753424657533</v>
      </c>
      <c r="J18" s="89">
        <f>I18/Arrivi!H18</f>
        <v>0.26363008971704621</v>
      </c>
      <c r="K18" s="8"/>
      <c r="L18" s="6"/>
      <c r="M18" s="56" t="s">
        <v>22</v>
      </c>
      <c r="N18" s="74">
        <f>AVERAGE(Dati_OPTN!C41:L41)</f>
        <v>447.8</v>
      </c>
      <c r="O18" s="4">
        <f t="shared" si="0"/>
        <v>1.2268493150684932</v>
      </c>
      <c r="P18" s="89">
        <f>N18/Arrivi!$C18</f>
        <v>0.32938580360426628</v>
      </c>
    </row>
    <row r="19" spans="1:16" x14ac:dyDescent="0.25">
      <c r="A19" s="6" t="s">
        <v>26</v>
      </c>
      <c r="B19" s="56" t="s">
        <v>16</v>
      </c>
      <c r="C19" s="4">
        <f>AVERAGE(Dati_OPTN!C42:H42)</f>
        <v>120.66666666666667</v>
      </c>
      <c r="D19" s="4">
        <f>Uscite!$C19/365</f>
        <v>0.33059360730593607</v>
      </c>
      <c r="E19" s="89">
        <f>Uscite!$C19/Arrivi!$C19</f>
        <v>8.4688267633641373E-2</v>
      </c>
      <c r="G19" s="6" t="s">
        <v>26</v>
      </c>
      <c r="H19" s="2" t="s">
        <v>16</v>
      </c>
      <c r="I19" s="86">
        <f>Dati_OPTN!C42/365</f>
        <v>0.27397260273972601</v>
      </c>
      <c r="J19" s="89">
        <f>I19/Arrivi!H19</f>
        <v>6.2814070351758788E-2</v>
      </c>
      <c r="K19" s="8"/>
      <c r="L19" s="6" t="s">
        <v>26</v>
      </c>
      <c r="M19" s="56" t="s">
        <v>16</v>
      </c>
      <c r="N19" s="74">
        <f>AVERAGE(Dati_OPTN!C42:L42)</f>
        <v>129.6</v>
      </c>
      <c r="O19" s="4">
        <f t="shared" si="0"/>
        <v>0.35506849315068489</v>
      </c>
      <c r="P19" s="89">
        <f>N19/Arrivi!$C19</f>
        <v>9.0958006784419232E-2</v>
      </c>
    </row>
    <row r="20" spans="1:16" x14ac:dyDescent="0.25">
      <c r="A20" s="6"/>
      <c r="B20" s="56" t="s">
        <v>18</v>
      </c>
      <c r="C20" s="4">
        <f>AVERAGE(Dati_OPTN!C43:H43)</f>
        <v>0</v>
      </c>
      <c r="D20" s="4">
        <f>Uscite!$C20/365</f>
        <v>0</v>
      </c>
      <c r="E20" s="89">
        <f>Uscite!$C20/Arrivi!$C20</f>
        <v>0</v>
      </c>
      <c r="G20" s="6"/>
      <c r="H20" s="2" t="s">
        <v>18</v>
      </c>
      <c r="I20" s="86">
        <f>Dati_OPTN!C43/365</f>
        <v>0</v>
      </c>
      <c r="J20" s="89">
        <f>I20/Arrivi!H20</f>
        <v>0</v>
      </c>
      <c r="K20" s="8"/>
      <c r="L20" s="6"/>
      <c r="M20" s="56" t="s">
        <v>18</v>
      </c>
      <c r="N20" s="74">
        <f>AVERAGE(Dati_OPTN!C43:L43)</f>
        <v>0.1</v>
      </c>
      <c r="O20" s="4">
        <f t="shared" si="0"/>
        <v>2.7397260273972606E-4</v>
      </c>
      <c r="P20" s="89">
        <f>N20/Arrivi!$C20</f>
        <v>0.06</v>
      </c>
    </row>
    <row r="21" spans="1:16" x14ac:dyDescent="0.25">
      <c r="A21" s="6"/>
      <c r="B21" s="56" t="s">
        <v>20</v>
      </c>
      <c r="C21" s="4">
        <f>AVERAGE(Dati_OPTN!C44:H44)</f>
        <v>38.5</v>
      </c>
      <c r="D21" s="4">
        <f>Uscite!$C21/365</f>
        <v>0.10547945205479452</v>
      </c>
      <c r="E21" s="89">
        <f>Uscite!$C21/Arrivi!$C21</f>
        <v>3.662597114317425E-2</v>
      </c>
      <c r="G21" s="6"/>
      <c r="H21" s="2" t="s">
        <v>20</v>
      </c>
      <c r="I21" s="86">
        <f>Dati_OPTN!C44/365</f>
        <v>9.3150684931506855E-2</v>
      </c>
      <c r="J21" s="89">
        <f>I21/Arrivi!H21</f>
        <v>2.931034482758621E-2</v>
      </c>
      <c r="K21" s="8"/>
      <c r="L21" s="6"/>
      <c r="M21" s="56" t="s">
        <v>20</v>
      </c>
      <c r="N21" s="74">
        <f>AVERAGE(Dati_OPTN!C44:L44)</f>
        <v>42.9</v>
      </c>
      <c r="O21" s="4">
        <f t="shared" si="0"/>
        <v>0.11753424657534246</v>
      </c>
      <c r="P21" s="89">
        <f>N21/Arrivi!$C21</f>
        <v>4.0811796416679876E-2</v>
      </c>
    </row>
    <row r="22" spans="1:16" x14ac:dyDescent="0.25">
      <c r="A22" s="55"/>
      <c r="B22" s="57" t="s">
        <v>22</v>
      </c>
      <c r="C22" s="70">
        <f>AVERAGE(Dati_OPTN!C45:H45)</f>
        <v>82.166666666666671</v>
      </c>
      <c r="D22" s="70">
        <f>Uscite!$C22/365</f>
        <v>0.22511415525114156</v>
      </c>
      <c r="E22" s="78">
        <f>Uscite!$C22/Arrivi!$C22</f>
        <v>0.22087813620071686</v>
      </c>
      <c r="G22" s="55"/>
      <c r="H22" s="85" t="s">
        <v>22</v>
      </c>
      <c r="I22" s="87">
        <f>Dati_OPTN!C45/365</f>
        <v>0.18082191780821918</v>
      </c>
      <c r="J22" s="78">
        <f>I22/Arrivi!H22</f>
        <v>0.15348837209302327</v>
      </c>
      <c r="K22" s="8"/>
      <c r="L22" s="55"/>
      <c r="M22" s="57" t="s">
        <v>22</v>
      </c>
      <c r="N22" s="75">
        <f>AVERAGE(Dati_OPTN!C45:L45)</f>
        <v>86.6</v>
      </c>
      <c r="O22" s="70">
        <f t="shared" si="0"/>
        <v>0.23726027397260271</v>
      </c>
      <c r="P22" s="78">
        <f>N22/Arrivi!$C22</f>
        <v>0.23279569892473118</v>
      </c>
    </row>
    <row r="23" spans="1:16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16" x14ac:dyDescent="0.25">
      <c r="A24" s="101" t="s">
        <v>201</v>
      </c>
      <c r="B24" s="101"/>
      <c r="C24" s="101"/>
      <c r="D24" s="101"/>
      <c r="E24" s="104"/>
      <c r="G24" s="101" t="s">
        <v>45</v>
      </c>
      <c r="H24" s="105"/>
      <c r="I24" s="105"/>
      <c r="J24" s="106"/>
      <c r="L24" s="101" t="s">
        <v>211</v>
      </c>
      <c r="M24" s="101"/>
      <c r="N24" s="101"/>
      <c r="O24" s="101"/>
      <c r="P24" s="104"/>
    </row>
    <row r="25" spans="1:16" x14ac:dyDescent="0.25">
      <c r="A25" s="63" t="s">
        <v>2</v>
      </c>
      <c r="B25" s="68" t="s">
        <v>3</v>
      </c>
      <c r="C25" s="69" t="s">
        <v>203</v>
      </c>
      <c r="D25" s="69" t="s">
        <v>204</v>
      </c>
      <c r="E25" s="68" t="s">
        <v>43</v>
      </c>
      <c r="G25" s="63" t="s">
        <v>2</v>
      </c>
      <c r="H25" s="68" t="s">
        <v>3</v>
      </c>
      <c r="I25" s="68" t="s">
        <v>44</v>
      </c>
      <c r="J25" s="88" t="s">
        <v>43</v>
      </c>
      <c r="L25" s="63" t="s">
        <v>2</v>
      </c>
      <c r="M25" s="68" t="s">
        <v>3</v>
      </c>
      <c r="N25" s="69" t="s">
        <v>203</v>
      </c>
      <c r="O25" s="69" t="s">
        <v>204</v>
      </c>
      <c r="P25" s="68" t="s">
        <v>43</v>
      </c>
    </row>
    <row r="26" spans="1:16" x14ac:dyDescent="0.25">
      <c r="A26" s="6" t="s">
        <v>15</v>
      </c>
      <c r="B26" s="56" t="s">
        <v>16</v>
      </c>
      <c r="C26" s="4">
        <f>IF(AVERAGE(Dati_OPTN!P49:U49) &gt; Arrivi!C3, Arrivi!C3, AVERAGE(Dati_OPTN!P49:U49))</f>
        <v>12187.833333333334</v>
      </c>
      <c r="D26" s="4">
        <f>Uscite!$C26/365</f>
        <v>33.391324200913246</v>
      </c>
      <c r="E26" s="61">
        <f>Uscite!$C26/Arrivi!C3</f>
        <v>0.32593890122037106</v>
      </c>
      <c r="G26" s="6" t="s">
        <v>15</v>
      </c>
      <c r="H26" s="56" t="s">
        <v>16</v>
      </c>
      <c r="I26" s="61">
        <f>Dati_OPTN!P49/365</f>
        <v>33.232876712328768</v>
      </c>
      <c r="J26" s="89">
        <f>I26/Arrivi!H3</f>
        <v>0.29207098312104213</v>
      </c>
      <c r="L26" s="6" t="s">
        <v>15</v>
      </c>
      <c r="M26" s="56" t="s">
        <v>16</v>
      </c>
      <c r="N26" s="72">
        <f>IF(AVERAGE(Dati_OPTN!P49:Y49) &gt; Arrivi!C3, Arrivi!C3, AVERAGE(Dati_OPTN!P49:Y49))</f>
        <v>10845.9</v>
      </c>
      <c r="O26" s="90">
        <f>N26/365</f>
        <v>29.714794520547944</v>
      </c>
      <c r="P26" s="73">
        <f>N26/Arrivi!C3</f>
        <v>0.29005161393843765</v>
      </c>
    </row>
    <row r="27" spans="1:16" x14ac:dyDescent="0.25">
      <c r="A27" s="6"/>
      <c r="B27" s="56" t="s">
        <v>18</v>
      </c>
      <c r="C27" s="4">
        <f>IF(AVERAGE(Dati_OPTN!P50:U50) &gt; Arrivi!C4, Arrivi!C4, AVERAGE(Dati_OPTN!P50:U50))</f>
        <v>3.3333333333333335</v>
      </c>
      <c r="D27" s="4">
        <f>Uscite!$C27/365</f>
        <v>9.1324200913242021E-3</v>
      </c>
      <c r="E27" s="61">
        <f>Uscite!$C27/Arrivi!C4</f>
        <v>8.9285714285714288E-2</v>
      </c>
      <c r="G27" s="6"/>
      <c r="H27" s="56" t="s">
        <v>18</v>
      </c>
      <c r="I27" s="61">
        <f>Dati_OPTN!P50/365</f>
        <v>5.4794520547945206E-3</v>
      </c>
      <c r="J27" s="89">
        <f>I27/Arrivi!H4</f>
        <v>4.878048780487805E-2</v>
      </c>
      <c r="L27" s="6"/>
      <c r="M27" s="56" t="s">
        <v>18</v>
      </c>
      <c r="N27" s="74">
        <f>IF(AVERAGE(Dati_OPTN!P50:Y50) &gt; Arrivi!C4, Arrivi!C4, AVERAGE(Dati_OPTN!P50:Y50))</f>
        <v>4.4000000000000004</v>
      </c>
      <c r="O27" s="4">
        <f t="shared" ref="O27:O45" si="1">N27/365</f>
        <v>1.2054794520547946E-2</v>
      </c>
      <c r="P27" s="61">
        <f>N27/Arrivi!C4</f>
        <v>0.11785714285714285</v>
      </c>
    </row>
    <row r="28" spans="1:16" x14ac:dyDescent="0.25">
      <c r="A28" s="6"/>
      <c r="B28" s="56" t="s">
        <v>20</v>
      </c>
      <c r="C28" s="4">
        <f>IF(AVERAGE(Dati_OPTN!P51:U51) &gt; Arrivi!C5, Arrivi!C5, AVERAGE(Dati_OPTN!P51:U51))</f>
        <v>2905.8333333333335</v>
      </c>
      <c r="D28" s="4">
        <f>Uscite!$C28/365</f>
        <v>7.961187214611873</v>
      </c>
      <c r="E28" s="61">
        <f>Uscite!$C28/Arrivi!C5</f>
        <v>0.10376185063292646</v>
      </c>
      <c r="G28" s="6"/>
      <c r="H28" s="56" t="s">
        <v>20</v>
      </c>
      <c r="I28" s="61">
        <f>Dati_OPTN!P51/365</f>
        <v>8.1999999999999993</v>
      </c>
      <c r="J28" s="89">
        <f>I28/Arrivi!H5</f>
        <v>9.6098892278054251E-2</v>
      </c>
      <c r="L28" s="6"/>
      <c r="M28" s="56" t="s">
        <v>20</v>
      </c>
      <c r="N28" s="74">
        <f>IF(AVERAGE(Dati_OPTN!P51:Y51) &gt; Arrivi!C5, Arrivi!C5, AVERAGE(Dati_OPTN!P51:Y51))</f>
        <v>2764.8</v>
      </c>
      <c r="O28" s="4">
        <f t="shared" si="1"/>
        <v>7.5747945205479459</v>
      </c>
      <c r="P28" s="61">
        <f>N28/Arrivi!C5</f>
        <v>9.872581518666422E-2</v>
      </c>
    </row>
    <row r="29" spans="1:16" x14ac:dyDescent="0.25">
      <c r="A29" s="6"/>
      <c r="B29" s="56" t="s">
        <v>22</v>
      </c>
      <c r="C29" s="4">
        <f>IF(AVERAGE(Dati_OPTN!P52:U52) &gt; Arrivi!C6, Arrivi!C6, AVERAGE(Dati_OPTN!P52:U52))</f>
        <v>9278.6666666666661</v>
      </c>
      <c r="D29" s="4">
        <f>Uscite!$C29/365</f>
        <v>25.421004566210044</v>
      </c>
      <c r="E29" s="61">
        <f>Uscite!$C29/Arrivi!C6</f>
        <v>0.99228232777827274</v>
      </c>
      <c r="G29" s="6"/>
      <c r="H29" s="56" t="s">
        <v>22</v>
      </c>
      <c r="I29" s="61">
        <f>Dati_OPTN!P52/365</f>
        <v>25.027397260273972</v>
      </c>
      <c r="J29" s="89">
        <f>I29/Arrivi!H6</f>
        <v>0.88303528274528753</v>
      </c>
      <c r="L29" s="6"/>
      <c r="M29" s="56" t="s">
        <v>22</v>
      </c>
      <c r="N29" s="74">
        <f>IF(AVERAGE(Dati_OPTN!P52:Y52) &gt; Arrivi!C6, Arrivi!C6, AVERAGE(Dati_OPTN!P52:Y52))</f>
        <v>8076.7</v>
      </c>
      <c r="O29" s="4">
        <f t="shared" si="1"/>
        <v>22.127945205479453</v>
      </c>
      <c r="P29" s="61">
        <f>N29/Arrivi!C6</f>
        <v>0.86374119953658313</v>
      </c>
    </row>
    <row r="30" spans="1:16" x14ac:dyDescent="0.25">
      <c r="A30" s="6" t="s">
        <v>23</v>
      </c>
      <c r="B30" s="56" t="s">
        <v>16</v>
      </c>
      <c r="C30" s="4">
        <f>IF(AVERAGE(Dati_OPTN!P53:U53) &gt; Arrivi!C7, Arrivi!C7, AVERAGE(Dati_OPTN!P53:U53))</f>
        <v>6284.666666666667</v>
      </c>
      <c r="D30" s="4">
        <f>Uscite!$C30/365</f>
        <v>17.218264840182648</v>
      </c>
      <c r="E30" s="61">
        <f>Uscite!$C30/Arrivi!C7</f>
        <v>0.34460447433835362</v>
      </c>
      <c r="G30" s="6" t="s">
        <v>23</v>
      </c>
      <c r="H30" s="56" t="s">
        <v>16</v>
      </c>
      <c r="I30" s="61">
        <f>Dati_OPTN!P53/365</f>
        <v>17.260273972602739</v>
      </c>
      <c r="J30" s="89">
        <f>I30/Arrivi!H7</f>
        <v>0.30976497197364539</v>
      </c>
      <c r="L30" s="6" t="s">
        <v>23</v>
      </c>
      <c r="M30" s="56" t="s">
        <v>16</v>
      </c>
      <c r="N30" s="74">
        <f>IF(AVERAGE(Dati_OPTN!P53:Y53) &gt; Arrivi!C7, Arrivi!C7, AVERAGE(Dati_OPTN!P53:Y53))</f>
        <v>5564.1</v>
      </c>
      <c r="O30" s="4">
        <f t="shared" si="1"/>
        <v>15.244109589041097</v>
      </c>
      <c r="P30" s="61">
        <f>N30/Arrivi!C7</f>
        <v>0.30509394648340404</v>
      </c>
    </row>
    <row r="31" spans="1:16" x14ac:dyDescent="0.25">
      <c r="A31" s="6"/>
      <c r="B31" s="56" t="s">
        <v>18</v>
      </c>
      <c r="C31" s="4">
        <f>IF(AVERAGE(Dati_OPTN!P54:U54) &gt; Arrivi!C8, Arrivi!C8, AVERAGE(Dati_OPTN!P54:U54))</f>
        <v>2.3333333333333335</v>
      </c>
      <c r="D31" s="4">
        <f>Uscite!$C31/365</f>
        <v>6.392694063926941E-3</v>
      </c>
      <c r="E31" s="71">
        <f>Uscite!$C31/Arrivi!C8</f>
        <v>0.12280701754385966</v>
      </c>
      <c r="G31" s="6"/>
      <c r="H31" s="56" t="s">
        <v>18</v>
      </c>
      <c r="I31" s="61">
        <f>Dati_OPTN!P54/365</f>
        <v>0</v>
      </c>
      <c r="J31" s="89">
        <f>I31/Arrivi!H8</f>
        <v>0</v>
      </c>
      <c r="L31" s="6"/>
      <c r="M31" s="56" t="s">
        <v>18</v>
      </c>
      <c r="N31" s="74">
        <f>IF(AVERAGE(Dati_OPTN!P54:Y54) &gt; Arrivi!C8, Arrivi!C8, AVERAGE(Dati_OPTN!P54:Y54))</f>
        <v>2.5</v>
      </c>
      <c r="O31" s="4">
        <f t="shared" si="1"/>
        <v>6.8493150684931503E-3</v>
      </c>
      <c r="P31" s="61">
        <f>N31/Arrivi!C8</f>
        <v>0.13157894736842105</v>
      </c>
    </row>
    <row r="32" spans="1:16" x14ac:dyDescent="0.25">
      <c r="A32" s="6"/>
      <c r="B32" s="56" t="s">
        <v>20</v>
      </c>
      <c r="C32" s="4">
        <f>IF(AVERAGE(Dati_OPTN!P55:U55) &gt; Arrivi!C9, Arrivi!C9, AVERAGE(Dati_OPTN!P55:U55))</f>
        <v>1521.5</v>
      </c>
      <c r="D32" s="4">
        <f>Uscite!$C32/365</f>
        <v>4.1684931506849319</v>
      </c>
      <c r="E32" s="71">
        <f>Uscite!$C32/Arrivi!C9</f>
        <v>0.11062772661173048</v>
      </c>
      <c r="G32" s="6"/>
      <c r="H32" s="56" t="s">
        <v>20</v>
      </c>
      <c r="I32" s="61">
        <f>Dati_OPTN!P55/365</f>
        <v>4.2849315068493148</v>
      </c>
      <c r="J32" s="89">
        <f>I32/Arrivi!H9</f>
        <v>0.10167728513847353</v>
      </c>
      <c r="L32" s="6"/>
      <c r="M32" s="56" t="s">
        <v>20</v>
      </c>
      <c r="N32" s="74">
        <f>IF(AVERAGE(Dati_OPTN!P55:Y55) &gt; Arrivi!C9, Arrivi!C9, AVERAGE(Dati_OPTN!P55:Y55))</f>
        <v>1439.5</v>
      </c>
      <c r="O32" s="4">
        <f t="shared" si="1"/>
        <v>3.9438356164383563</v>
      </c>
      <c r="P32" s="61">
        <f>N32/Arrivi!C9</f>
        <v>0.10466553562772661</v>
      </c>
    </row>
    <row r="33" spans="1:17" x14ac:dyDescent="0.25">
      <c r="A33" s="6"/>
      <c r="B33" s="56" t="s">
        <v>22</v>
      </c>
      <c r="C33" s="4">
        <f>IF(AVERAGE(Dati_OPTN!P56:U56) &gt; Arrivi!C10, Arrivi!C10, AVERAGE(Dati_OPTN!P56:U56))</f>
        <v>4465</v>
      </c>
      <c r="D33" s="4">
        <f>Uscite!$C33/365</f>
        <v>12.232876712328768</v>
      </c>
      <c r="E33" s="71">
        <f>Uscite!$C33/Arrivi!C10</f>
        <v>1</v>
      </c>
      <c r="G33" s="6"/>
      <c r="H33" s="56" t="s">
        <v>22</v>
      </c>
      <c r="I33" s="61">
        <f>Dati_OPTN!P56/365</f>
        <v>12.975342465753425</v>
      </c>
      <c r="J33" s="89">
        <f>I33/Arrivi!H10</f>
        <v>0.95928701640672476</v>
      </c>
      <c r="L33" s="6"/>
      <c r="M33" s="56" t="s">
        <v>22</v>
      </c>
      <c r="N33" s="74">
        <f>IF(AVERAGE(Dati_OPTN!P56:Y56) &gt; Arrivi!C10, Arrivi!C10, AVERAGE(Dati_OPTN!P56:Y56))</f>
        <v>4122.1000000000004</v>
      </c>
      <c r="O33" s="4">
        <f t="shared" si="1"/>
        <v>11.293424657534247</v>
      </c>
      <c r="P33" s="61">
        <f>N33/Arrivi!C10</f>
        <v>0.92320268756998891</v>
      </c>
    </row>
    <row r="34" spans="1:17" x14ac:dyDescent="0.25">
      <c r="A34" s="6" t="s">
        <v>24</v>
      </c>
      <c r="B34" s="56" t="s">
        <v>16</v>
      </c>
      <c r="C34" s="4">
        <f>IF(AVERAGE(Dati_OPTN!P57:U57) &gt; Arrivi!C11, Arrivi!C11, AVERAGE(Dati_OPTN!P57:U57))</f>
        <v>3636.3333333333335</v>
      </c>
      <c r="D34" s="4">
        <f>Uscite!$C34/365</f>
        <v>9.9625570776255721</v>
      </c>
      <c r="E34" s="71">
        <f>Uscite!$C34/Arrivi!C11</f>
        <v>0.29883986905723953</v>
      </c>
      <c r="G34" s="6" t="s">
        <v>24</v>
      </c>
      <c r="H34" s="56" t="s">
        <v>16</v>
      </c>
      <c r="I34" s="61">
        <f>Dati_OPTN!P57/365</f>
        <v>9.6876712328767116</v>
      </c>
      <c r="J34" s="89">
        <f>I34/Arrivi!H11</f>
        <v>0.26282146573509735</v>
      </c>
      <c r="L34" s="6" t="s">
        <v>24</v>
      </c>
      <c r="M34" s="56" t="s">
        <v>16</v>
      </c>
      <c r="N34" s="74">
        <f>IF(AVERAGE(Dati_OPTN!P57:Y57) &gt; Arrivi!C11, Arrivi!C11, AVERAGE(Dati_OPTN!P57:Y57))</f>
        <v>3261.2</v>
      </c>
      <c r="O34" s="4">
        <f t="shared" si="1"/>
        <v>8.9347945205479444</v>
      </c>
      <c r="P34" s="61">
        <f>N34/Arrivi!C11</f>
        <v>0.26801079318988069</v>
      </c>
    </row>
    <row r="35" spans="1:17" x14ac:dyDescent="0.25">
      <c r="A35" s="6"/>
      <c r="B35" s="56" t="s">
        <v>18</v>
      </c>
      <c r="C35" s="4">
        <f>IF(AVERAGE(Dati_OPTN!P58:U58) &gt; Arrivi!C12, Arrivi!C12, AVERAGE(Dati_OPTN!P58:U58))</f>
        <v>0.5</v>
      </c>
      <c r="D35" s="4">
        <f>Uscite!$C35/365</f>
        <v>1.3698630136986301E-3</v>
      </c>
      <c r="E35" s="71">
        <f>Uscite!$C35/Arrivi!C12</f>
        <v>4.6875E-2</v>
      </c>
      <c r="G35" s="6"/>
      <c r="H35" s="56" t="s">
        <v>18</v>
      </c>
      <c r="I35" s="61">
        <f>Dati_OPTN!P58/365</f>
        <v>5.4794520547945206E-3</v>
      </c>
      <c r="J35" s="89">
        <f>I35/Arrivi!H12</f>
        <v>0.2</v>
      </c>
      <c r="L35" s="6"/>
      <c r="M35" s="56" t="s">
        <v>18</v>
      </c>
      <c r="N35" s="74">
        <f>IF(AVERAGE(Dati_OPTN!P58:Y58) &gt; Arrivi!C12, Arrivi!C12, AVERAGE(Dati_OPTN!P58:Y58))</f>
        <v>1.2</v>
      </c>
      <c r="O35" s="4">
        <f t="shared" si="1"/>
        <v>3.2876712328767121E-3</v>
      </c>
      <c r="P35" s="61">
        <f>N35/Arrivi!C12</f>
        <v>0.1125</v>
      </c>
    </row>
    <row r="36" spans="1:17" x14ac:dyDescent="0.25">
      <c r="A36" s="6"/>
      <c r="B36" s="56" t="s">
        <v>20</v>
      </c>
      <c r="C36" s="4">
        <f>IF(AVERAGE(Dati_OPTN!P59:U59) &gt; Arrivi!C13, Arrivi!C13, AVERAGE(Dati_OPTN!P59:U59))</f>
        <v>853.33333333333337</v>
      </c>
      <c r="D36" s="4">
        <f>Uscite!$C36/365</f>
        <v>2.3378995433789957</v>
      </c>
      <c r="E36" s="71">
        <f>Uscite!$C36/Arrivi!C13</f>
        <v>9.4781465780558696E-2</v>
      </c>
      <c r="G36" s="6"/>
      <c r="H36" s="56" t="s">
        <v>20</v>
      </c>
      <c r="I36" s="61">
        <f>Dati_OPTN!P59/365</f>
        <v>2.3671232876712329</v>
      </c>
      <c r="J36" s="89">
        <f>I36/Arrivi!H13</f>
        <v>8.7140695915279884E-2</v>
      </c>
      <c r="L36" s="6"/>
      <c r="M36" s="56" t="s">
        <v>20</v>
      </c>
      <c r="N36" s="74">
        <f>IF(AVERAGE(Dati_OPTN!P59:Y59) &gt; Arrivi!C13, Arrivi!C13, AVERAGE(Dati_OPTN!P59:Y59))</f>
        <v>818.7</v>
      </c>
      <c r="O36" s="4">
        <f t="shared" si="1"/>
        <v>2.2430136986301372</v>
      </c>
      <c r="P36" s="61">
        <f>N36/Arrivi!C13</f>
        <v>9.0934671134230566E-2</v>
      </c>
    </row>
    <row r="37" spans="1:17" x14ac:dyDescent="0.25">
      <c r="A37" s="6"/>
      <c r="B37" s="56" t="s">
        <v>22</v>
      </c>
      <c r="C37" s="4">
        <f>IF(AVERAGE(Dati_OPTN!P60:U60) &gt; Arrivi!C14, Arrivi!C14, AVERAGE(Dati_OPTN!P60:U60))</f>
        <v>2782.5</v>
      </c>
      <c r="D37" s="4">
        <f>Uscite!$C37/365</f>
        <v>7.6232876712328768</v>
      </c>
      <c r="E37" s="71">
        <f>Uscite!$C37/Arrivi!C14</f>
        <v>0.88211983514741621</v>
      </c>
      <c r="G37" s="6"/>
      <c r="H37" s="56" t="s">
        <v>22</v>
      </c>
      <c r="I37" s="61">
        <f>Dati_OPTN!P60/365</f>
        <v>7.3150684931506849</v>
      </c>
      <c r="J37" s="89">
        <f>I37/Arrivi!H14</f>
        <v>0.75658826863134032</v>
      </c>
      <c r="L37" s="6"/>
      <c r="M37" s="56" t="s">
        <v>22</v>
      </c>
      <c r="N37" s="74">
        <f>IF(AVERAGE(Dati_OPTN!P60:Y60) &gt; Arrivi!C14, Arrivi!C14, AVERAGE(Dati_OPTN!P60:Y60))</f>
        <v>2441.3000000000002</v>
      </c>
      <c r="O37" s="4">
        <f t="shared" si="1"/>
        <v>6.6884931506849323</v>
      </c>
      <c r="P37" s="61">
        <f>N37/Arrivi!C14</f>
        <v>0.77395117827327486</v>
      </c>
    </row>
    <row r="38" spans="1:17" x14ac:dyDescent="0.25">
      <c r="A38" s="6" t="s">
        <v>25</v>
      </c>
      <c r="B38" s="56" t="s">
        <v>16</v>
      </c>
      <c r="C38" s="4">
        <f>IF(AVERAGE(Dati_OPTN!P61:U61) &gt; Arrivi!C15, Arrivi!C15, AVERAGE(Dati_OPTN!P61:U61))</f>
        <v>1913.6666666666667</v>
      </c>
      <c r="D38" s="4">
        <f>Uscite!$C38/365</f>
        <v>5.2429223744292237</v>
      </c>
      <c r="E38" s="71">
        <f>Uscite!$C38/Arrivi!C15</f>
        <v>0.34396812558042</v>
      </c>
      <c r="G38" s="6" t="s">
        <v>25</v>
      </c>
      <c r="H38" s="56" t="s">
        <v>16</v>
      </c>
      <c r="I38" s="61">
        <f>Dati_OPTN!P61/365</f>
        <v>5.4136986301369863</v>
      </c>
      <c r="J38" s="89">
        <f>I38/Arrivi!H15</f>
        <v>0.32140533506831492</v>
      </c>
      <c r="L38" s="6" t="s">
        <v>25</v>
      </c>
      <c r="M38" s="56" t="s">
        <v>16</v>
      </c>
      <c r="N38" s="74">
        <f>IF(AVERAGE(Dati_OPTN!P61:Y61) &gt; Arrivi!C15, Arrivi!C15, AVERAGE(Dati_OPTN!P61:Y61))</f>
        <v>1702.6</v>
      </c>
      <c r="O38" s="4">
        <f t="shared" si="1"/>
        <v>4.664657534246575</v>
      </c>
      <c r="P38" s="61">
        <f>N38/Arrivi!C15</f>
        <v>0.30603037656151699</v>
      </c>
    </row>
    <row r="39" spans="1:17" x14ac:dyDescent="0.25">
      <c r="A39" s="6"/>
      <c r="B39" s="56" t="s">
        <v>18</v>
      </c>
      <c r="C39" s="4">
        <f>IF(AVERAGE(Dati_OPTN!P62:U62) &gt; Arrivi!C16, Arrivi!C16, AVERAGE(Dati_OPTN!P62:U62))</f>
        <v>0</v>
      </c>
      <c r="D39" s="4">
        <f>Uscite!$C39/365</f>
        <v>0</v>
      </c>
      <c r="E39" s="71">
        <f>Uscite!$C39/Arrivi!C16</f>
        <v>0</v>
      </c>
      <c r="G39" s="6"/>
      <c r="H39" s="56" t="s">
        <v>18</v>
      </c>
      <c r="I39" s="61">
        <f>Dati_OPTN!P62/365</f>
        <v>0</v>
      </c>
      <c r="J39" s="89">
        <f>I39/Arrivi!H16</f>
        <v>0</v>
      </c>
      <c r="L39" s="6"/>
      <c r="M39" s="56" t="s">
        <v>18</v>
      </c>
      <c r="N39" s="74">
        <f>IF(AVERAGE(Dati_OPTN!P62:Y62) &gt; Arrivi!C16, Arrivi!C16, AVERAGE(Dati_OPTN!P62:Y62))</f>
        <v>0.4</v>
      </c>
      <c r="O39" s="4">
        <f t="shared" si="1"/>
        <v>1.0958904109589042E-3</v>
      </c>
      <c r="P39" s="61">
        <f>N39/Arrivi!C16</f>
        <v>6.6666666666666666E-2</v>
      </c>
    </row>
    <row r="40" spans="1:17" x14ac:dyDescent="0.25">
      <c r="A40" s="6"/>
      <c r="B40" s="56" t="s">
        <v>20</v>
      </c>
      <c r="C40" s="4">
        <f>IF(AVERAGE(Dati_OPTN!P63:U63) &gt; Arrivi!C17, Arrivi!C17, AVERAGE(Dati_OPTN!P63:U63))</f>
        <v>454</v>
      </c>
      <c r="D40" s="4">
        <f>Uscite!$C40/365</f>
        <v>1.2438356164383562</v>
      </c>
      <c r="E40" s="71">
        <f>Uscite!$C40/Arrivi!C17</f>
        <v>0.1081467365412101</v>
      </c>
      <c r="G40" s="6"/>
      <c r="H40" s="56" t="s">
        <v>20</v>
      </c>
      <c r="I40" s="61">
        <f>Dati_OPTN!P63/365</f>
        <v>1.3095890410958904</v>
      </c>
      <c r="J40" s="89">
        <f>I40/Arrivi!H17</f>
        <v>0.1019407123053956</v>
      </c>
      <c r="L40" s="6"/>
      <c r="M40" s="56" t="s">
        <v>20</v>
      </c>
      <c r="N40" s="74">
        <f>IF(AVERAGE(Dati_OPTN!P63:Y63) &gt; Arrivi!C17, Arrivi!C17, AVERAGE(Dati_OPTN!P63:Y63))</f>
        <v>430.7</v>
      </c>
      <c r="O40" s="4">
        <f t="shared" si="1"/>
        <v>1.18</v>
      </c>
      <c r="P40" s="61">
        <f>N40/Arrivi!C17</f>
        <v>0.10259647451167223</v>
      </c>
    </row>
    <row r="41" spans="1:17" x14ac:dyDescent="0.25">
      <c r="A41" s="6"/>
      <c r="B41" s="56" t="s">
        <v>22</v>
      </c>
      <c r="C41" s="4">
        <f>IF(AVERAGE(Dati_OPTN!P64:U64) &gt; Arrivi!C18, Arrivi!C18, AVERAGE(Dati_OPTN!P64:U64))</f>
        <v>1359.5</v>
      </c>
      <c r="D41" s="4">
        <f>Uscite!$C41/365</f>
        <v>3.7246575342465755</v>
      </c>
      <c r="E41" s="71">
        <f>Uscite!$C41/Arrivi!C18</f>
        <v>1</v>
      </c>
      <c r="G41" s="6"/>
      <c r="H41" s="56" t="s">
        <v>22</v>
      </c>
      <c r="I41" s="61">
        <f>Dati_OPTN!P64/365</f>
        <v>4.1041095890410961</v>
      </c>
      <c r="J41" s="89">
        <f>I41/Arrivi!H18</f>
        <v>1.0338164251207731</v>
      </c>
      <c r="L41" s="6"/>
      <c r="M41" s="56" t="s">
        <v>22</v>
      </c>
      <c r="N41" s="74">
        <f>IF(AVERAGE(Dati_OPTN!P64:Y64) &gt; Arrivi!C18, Arrivi!C18, AVERAGE(Dati_OPTN!P64:Y64))</f>
        <v>1271.5</v>
      </c>
      <c r="O41" s="4">
        <f t="shared" si="1"/>
        <v>3.4835616438356163</v>
      </c>
      <c r="P41" s="61">
        <f>N41/Arrivi!C18</f>
        <v>0.93527031997057741</v>
      </c>
    </row>
    <row r="42" spans="1:17" x14ac:dyDescent="0.25">
      <c r="A42" s="6" t="s">
        <v>26</v>
      </c>
      <c r="B42" s="56" t="s">
        <v>16</v>
      </c>
      <c r="C42" s="4">
        <f>IF(AVERAGE(Dati_OPTN!P65:U65) &gt; Arrivi!C19, Arrivi!C19, AVERAGE(Dati_OPTN!P65:U65))</f>
        <v>353.33333333333331</v>
      </c>
      <c r="D42" s="4">
        <f>Uscite!$C42/365</f>
        <v>0.96803652968036524</v>
      </c>
      <c r="E42" s="71">
        <f>Uscite!$C42/Arrivi!C19</f>
        <v>0.24798222014270674</v>
      </c>
      <c r="G42" s="6" t="s">
        <v>26</v>
      </c>
      <c r="H42" s="56" t="s">
        <v>16</v>
      </c>
      <c r="I42" s="61">
        <f>Dati_OPTN!P65/365</f>
        <v>0.87123287671232874</v>
      </c>
      <c r="J42" s="89">
        <f>I42/Arrivi!H19</f>
        <v>0.19974874371859297</v>
      </c>
      <c r="L42" s="6" t="s">
        <v>26</v>
      </c>
      <c r="M42" s="56" t="s">
        <v>16</v>
      </c>
      <c r="N42" s="74">
        <f>IF(AVERAGE(Dati_OPTN!P65:Y65) &gt; Arrivi!C19, Arrivi!C19, AVERAGE(Dati_OPTN!P65:Y65))</f>
        <v>318.3</v>
      </c>
      <c r="O42" s="4">
        <f t="shared" si="1"/>
        <v>0.87205479452054802</v>
      </c>
      <c r="P42" s="61">
        <f>N42/Arrivi!C19</f>
        <v>0.2233945490700667</v>
      </c>
    </row>
    <row r="43" spans="1:17" x14ac:dyDescent="0.25">
      <c r="A43" s="6"/>
      <c r="B43" s="56" t="s">
        <v>18</v>
      </c>
      <c r="C43" s="4">
        <f>IF(AVERAGE(Dati_OPTN!P66:U66) &gt; Arrivi!C20, Arrivi!C20, AVERAGE(Dati_OPTN!P66:U66))</f>
        <v>0.5</v>
      </c>
      <c r="D43" s="4">
        <f>Uscite!$C43/365</f>
        <v>1.3698630136986301E-3</v>
      </c>
      <c r="E43" s="61">
        <f>Uscite!$C43/Arrivi!C20</f>
        <v>0.3</v>
      </c>
      <c r="G43" s="6"/>
      <c r="H43" s="56" t="s">
        <v>18</v>
      </c>
      <c r="I43" s="61">
        <f>Dati_OPTN!P66/365</f>
        <v>0</v>
      </c>
      <c r="J43" s="89">
        <f>I43/Arrivi!H20</f>
        <v>0</v>
      </c>
      <c r="L43" s="6"/>
      <c r="M43" s="56" t="s">
        <v>18</v>
      </c>
      <c r="N43" s="74">
        <f>IF(AVERAGE(Dati_OPTN!P66:Y66) &gt; Arrivi!C20, Arrivi!C20, AVERAGE(Dati_OPTN!P66:Y66))</f>
        <v>0.3</v>
      </c>
      <c r="O43" s="4">
        <f t="shared" si="1"/>
        <v>8.2191780821917802E-4</v>
      </c>
      <c r="P43" s="61">
        <f>N43/Arrivi!C20</f>
        <v>0.18</v>
      </c>
    </row>
    <row r="44" spans="1:17" x14ac:dyDescent="0.25">
      <c r="A44" s="6"/>
      <c r="B44" s="56" t="s">
        <v>20</v>
      </c>
      <c r="C44" s="4">
        <f>IF(AVERAGE(Dati_OPTN!P67:U67) &gt; Arrivi!C21, Arrivi!C21, AVERAGE(Dati_OPTN!P67:U67))</f>
        <v>77</v>
      </c>
      <c r="D44" s="4">
        <f>Uscite!$C44/365</f>
        <v>0.21095890410958903</v>
      </c>
      <c r="E44" s="61">
        <f>Uscite!$C44/Arrivi!C21</f>
        <v>7.3251942286348501E-2</v>
      </c>
      <c r="G44" s="6"/>
      <c r="H44" s="56" t="s">
        <v>20</v>
      </c>
      <c r="I44" s="61">
        <f>Dati_OPTN!P67/365</f>
        <v>0.23835616438356164</v>
      </c>
      <c r="J44" s="89">
        <f>I44/Arrivi!H21</f>
        <v>7.4999999999999997E-2</v>
      </c>
      <c r="L44" s="6"/>
      <c r="M44" s="56" t="s">
        <v>20</v>
      </c>
      <c r="N44" s="74">
        <f>IF(AVERAGE(Dati_OPTN!P67:Y67) &gt; Arrivi!C21, Arrivi!C21, AVERAGE(Dati_OPTN!P67:Y67))</f>
        <v>76.099999999999994</v>
      </c>
      <c r="O44" s="4">
        <f t="shared" si="1"/>
        <v>0.20849315068493149</v>
      </c>
      <c r="P44" s="61">
        <f>N44/Arrivi!C21</f>
        <v>7.2395750753131427E-2</v>
      </c>
    </row>
    <row r="45" spans="1:17" x14ac:dyDescent="0.25">
      <c r="A45" s="55"/>
      <c r="B45" s="57" t="s">
        <v>22</v>
      </c>
      <c r="C45" s="70">
        <f>IF(AVERAGE(Dati_OPTN!P68:U68) &gt; Arrivi!C22, Arrivi!C22, AVERAGE(Dati_OPTN!P68:U68))</f>
        <v>275.83333333333331</v>
      </c>
      <c r="D45" s="70">
        <f>Uscite!$C45/365</f>
        <v>0.75570776255707761</v>
      </c>
      <c r="E45" s="62">
        <f>Uscite!$C45/Arrivi!C22</f>
        <v>0.74148745519713255</v>
      </c>
      <c r="G45" s="55"/>
      <c r="H45" s="57" t="s">
        <v>22</v>
      </c>
      <c r="I45" s="62">
        <f>Dati_OPTN!P68/365</f>
        <v>0.63287671232876708</v>
      </c>
      <c r="J45" s="78">
        <f>I45/Arrivi!H22</f>
        <v>0.53720930232558128</v>
      </c>
      <c r="L45" s="55"/>
      <c r="M45" s="57" t="s">
        <v>22</v>
      </c>
      <c r="N45" s="75">
        <f>IF(AVERAGE(Dati_OPTN!P68:Y68) &gt; Arrivi!C22, Arrivi!C22, AVERAGE(Dati_OPTN!P68:Y68))</f>
        <v>241.9</v>
      </c>
      <c r="O45" s="70">
        <f t="shared" si="1"/>
        <v>0.66273972602739728</v>
      </c>
      <c r="P45" s="62">
        <f>N45/Arrivi!C22</f>
        <v>0.65026881720430108</v>
      </c>
    </row>
    <row r="46" spans="1:17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17" x14ac:dyDescent="0.25">
      <c r="A47" s="101" t="s">
        <v>202</v>
      </c>
      <c r="B47" s="102"/>
      <c r="C47" s="102"/>
      <c r="D47" s="102"/>
      <c r="E47" s="103"/>
      <c r="F47" s="7"/>
      <c r="G47" s="101" t="s">
        <v>212</v>
      </c>
      <c r="H47" s="102"/>
      <c r="I47" s="102"/>
      <c r="J47" s="103"/>
      <c r="L47" s="101" t="s">
        <v>202</v>
      </c>
      <c r="M47" s="102"/>
      <c r="N47" s="102"/>
      <c r="O47" s="102"/>
      <c r="P47" s="103"/>
      <c r="Q47" s="8"/>
    </row>
    <row r="48" spans="1:17" x14ac:dyDescent="0.25">
      <c r="A48" s="63" t="s">
        <v>2</v>
      </c>
      <c r="B48" s="68" t="s">
        <v>3</v>
      </c>
      <c r="C48" s="69" t="s">
        <v>205</v>
      </c>
      <c r="D48" s="69" t="s">
        <v>206</v>
      </c>
      <c r="E48" s="68" t="s">
        <v>43</v>
      </c>
      <c r="F48" s="7"/>
      <c r="G48" s="63" t="s">
        <v>2</v>
      </c>
      <c r="H48" s="68" t="s">
        <v>3</v>
      </c>
      <c r="I48" s="69" t="s">
        <v>206</v>
      </c>
      <c r="J48" s="68" t="s">
        <v>43</v>
      </c>
      <c r="L48" s="63" t="s">
        <v>2</v>
      </c>
      <c r="M48" s="68" t="s">
        <v>3</v>
      </c>
      <c r="N48" s="69" t="s">
        <v>205</v>
      </c>
      <c r="O48" s="69" t="s">
        <v>206</v>
      </c>
      <c r="P48" s="68" t="s">
        <v>43</v>
      </c>
    </row>
    <row r="49" spans="1:16" x14ac:dyDescent="0.25">
      <c r="A49" s="6" t="s">
        <v>15</v>
      </c>
      <c r="B49" s="56" t="s">
        <v>16</v>
      </c>
      <c r="C49" s="4">
        <f>AVERAGE(Dati_OPTN!C49:H49)</f>
        <v>19598.666666666668</v>
      </c>
      <c r="D49" s="4">
        <f>Uscite!$C49/365</f>
        <v>53.694977168949777</v>
      </c>
      <c r="E49" s="61">
        <f>Uscite!$C49/Arrivi!C3</f>
        <v>0.52412661906417424</v>
      </c>
      <c r="F49" s="7"/>
      <c r="G49" s="6" t="s">
        <v>15</v>
      </c>
      <c r="H49" s="56" t="s">
        <v>16</v>
      </c>
      <c r="I49" s="72">
        <f>Dati_OPTN!C49/365</f>
        <v>63.838356164383562</v>
      </c>
      <c r="J49" s="73">
        <f>I49/Arrivi!H3</f>
        <v>0.56105078134405628</v>
      </c>
      <c r="L49" s="6" t="s">
        <v>15</v>
      </c>
      <c r="M49" s="56" t="s">
        <v>16</v>
      </c>
      <c r="N49" s="72">
        <f>AVERAGE(Dati_OPTN!C49:L49)</f>
        <v>18179.2</v>
      </c>
      <c r="O49" s="90">
        <f>N49/365</f>
        <v>49.806027397260273</v>
      </c>
      <c r="P49" s="73">
        <f>N49/Arrivi!C3</f>
        <v>0.48616585992030598</v>
      </c>
    </row>
    <row r="50" spans="1:16" x14ac:dyDescent="0.25">
      <c r="A50" s="6"/>
      <c r="B50" s="56" t="s">
        <v>18</v>
      </c>
      <c r="C50" s="4">
        <f>AVERAGE(Dati_OPTN!C50:H50)</f>
        <v>16.5</v>
      </c>
      <c r="D50" s="4">
        <f>Uscite!$C50/365</f>
        <v>4.5205479452054796E-2</v>
      </c>
      <c r="E50" s="61">
        <f>Uscite!$C50/Arrivi!C4</f>
        <v>0.4419642857142857</v>
      </c>
      <c r="G50" s="6"/>
      <c r="H50" s="56" t="s">
        <v>18</v>
      </c>
      <c r="I50" s="74">
        <f>Dati_OPTN!C50/365</f>
        <v>4.6575342465753428E-2</v>
      </c>
      <c r="J50" s="61">
        <f>I50/Arrivi!H4</f>
        <v>0.41463414634146345</v>
      </c>
      <c r="L50" s="6"/>
      <c r="M50" s="56" t="s">
        <v>18</v>
      </c>
      <c r="N50" s="74">
        <f>AVERAGE(Dati_OPTN!C50:L50)</f>
        <v>21.2</v>
      </c>
      <c r="O50" s="4">
        <f t="shared" ref="O50:O68" si="2">N50/365</f>
        <v>5.8082191780821919E-2</v>
      </c>
      <c r="P50" s="61">
        <f>N50/Arrivi!C4</f>
        <v>0.56785714285714284</v>
      </c>
    </row>
    <row r="51" spans="1:16" x14ac:dyDescent="0.25">
      <c r="A51" s="6"/>
      <c r="B51" s="56" t="s">
        <v>20</v>
      </c>
      <c r="C51" s="4">
        <f>AVERAGE(Dati_OPTN!C51:H51)</f>
        <v>18036.166666666668</v>
      </c>
      <c r="D51" s="4">
        <f>Uscite!$C51/365</f>
        <v>49.414155251141558</v>
      </c>
      <c r="E51" s="61">
        <f>Uscite!$C51/Arrivi!C5</f>
        <v>0.64403763636039024</v>
      </c>
      <c r="G51" s="6"/>
      <c r="H51" s="56" t="s">
        <v>20</v>
      </c>
      <c r="I51" s="74">
        <f>Dati_OPTN!C51/365</f>
        <v>58.87945205479452</v>
      </c>
      <c r="J51" s="61">
        <f>I51/Arrivi!H5</f>
        <v>0.69003050248836084</v>
      </c>
      <c r="L51" s="6"/>
      <c r="M51" s="56" t="s">
        <v>20</v>
      </c>
      <c r="N51" s="74">
        <f>AVERAGE(Dati_OPTN!C51:L51)</f>
        <v>16771.5</v>
      </c>
      <c r="O51" s="4">
        <f t="shared" si="2"/>
        <v>45.949315068493149</v>
      </c>
      <c r="P51" s="61">
        <f>N51/Arrivi!C5</f>
        <v>0.59887876497509362</v>
      </c>
    </row>
    <row r="52" spans="1:16" x14ac:dyDescent="0.25">
      <c r="A52" s="6"/>
      <c r="B52" s="56" t="s">
        <v>22</v>
      </c>
      <c r="C52" s="4">
        <f>AVERAGE(Dati_OPTN!C52:H52)</f>
        <v>1546</v>
      </c>
      <c r="D52" s="4">
        <f>Uscite!$C52/365</f>
        <v>4.2356164383561641</v>
      </c>
      <c r="E52" s="61">
        <f>Uscite!$C52/Arrivi!C6</f>
        <v>0.1653328580340433</v>
      </c>
      <c r="G52" s="6"/>
      <c r="H52" s="56" t="s">
        <v>22</v>
      </c>
      <c r="I52" s="74">
        <f>Dati_OPTN!C52/365</f>
        <v>4.912328767123288</v>
      </c>
      <c r="J52" s="61">
        <f>I52/Arrivi!H6</f>
        <v>0.1733204446592557</v>
      </c>
      <c r="L52" s="6"/>
      <c r="M52" s="56" t="s">
        <v>22</v>
      </c>
      <c r="N52" s="74">
        <f>AVERAGE(Dati_OPTN!C52:L52)</f>
        <v>1386.5</v>
      </c>
      <c r="O52" s="4">
        <f t="shared" si="2"/>
        <v>3.7986301369863016</v>
      </c>
      <c r="P52" s="61">
        <f>N52/Arrivi!C6</f>
        <v>0.14827555476339005</v>
      </c>
    </row>
    <row r="53" spans="1:16" x14ac:dyDescent="0.25">
      <c r="A53" s="6" t="s">
        <v>23</v>
      </c>
      <c r="B53" s="56" t="s">
        <v>16</v>
      </c>
      <c r="C53" s="4">
        <f>AVERAGE(Dati_OPTN!C53:H53)</f>
        <v>8851.6666666666661</v>
      </c>
      <c r="D53" s="4">
        <f>Uscite!$C53/365</f>
        <v>24.251141552511413</v>
      </c>
      <c r="E53" s="61">
        <f>Uscite!$C53/Arrivi!C7</f>
        <v>0.48535970171077641</v>
      </c>
      <c r="G53" s="6" t="s">
        <v>23</v>
      </c>
      <c r="H53" s="56" t="s">
        <v>16</v>
      </c>
      <c r="I53" s="74">
        <f>Dati_OPTN!C53/365</f>
        <v>28.969863013698632</v>
      </c>
      <c r="J53" s="61">
        <f>I53/Arrivi!H7</f>
        <v>0.51991346248402004</v>
      </c>
      <c r="L53" s="6" t="s">
        <v>23</v>
      </c>
      <c r="M53" s="56" t="s">
        <v>16</v>
      </c>
      <c r="N53" s="74">
        <f>AVERAGE(Dati_OPTN!C53:L53)</f>
        <v>8204</v>
      </c>
      <c r="O53" s="4">
        <f t="shared" si="2"/>
        <v>22.476712328767125</v>
      </c>
      <c r="P53" s="61">
        <f>N53/Arrivi!C7</f>
        <v>0.4498464687819857</v>
      </c>
    </row>
    <row r="54" spans="1:16" x14ac:dyDescent="0.25">
      <c r="A54" s="6"/>
      <c r="B54" s="56" t="s">
        <v>18</v>
      </c>
      <c r="C54" s="4">
        <f>AVERAGE(Dati_OPTN!C54:H54)</f>
        <v>7.5</v>
      </c>
      <c r="D54" s="4">
        <f>Uscite!$C54/365</f>
        <v>2.0547945205479451E-2</v>
      </c>
      <c r="E54" s="61">
        <f>Uscite!$C54/Arrivi!C8</f>
        <v>0.39473684210526316</v>
      </c>
      <c r="G54" s="6"/>
      <c r="H54" s="56" t="s">
        <v>18</v>
      </c>
      <c r="I54" s="74">
        <f>Dati_OPTN!C54/365</f>
        <v>1.9178082191780823E-2</v>
      </c>
      <c r="J54" s="61">
        <f>I54/Arrivi!H8</f>
        <v>0.36842105263157898</v>
      </c>
      <c r="L54" s="6"/>
      <c r="M54" s="56" t="s">
        <v>18</v>
      </c>
      <c r="N54" s="74">
        <f>AVERAGE(Dati_OPTN!C54:L54)</f>
        <v>10</v>
      </c>
      <c r="O54" s="4">
        <f t="shared" si="2"/>
        <v>2.7397260273972601E-2</v>
      </c>
      <c r="P54" s="61">
        <f>N54/Arrivi!C8</f>
        <v>0.52631578947368418</v>
      </c>
    </row>
    <row r="55" spans="1:16" x14ac:dyDescent="0.25">
      <c r="A55" s="6"/>
      <c r="B55" s="56" t="s">
        <v>20</v>
      </c>
      <c r="C55" s="4">
        <f>AVERAGE(Dati_OPTN!C55:H55)</f>
        <v>8187</v>
      </c>
      <c r="D55" s="4">
        <f>Uscite!$C55/365</f>
        <v>22.43013698630137</v>
      </c>
      <c r="E55" s="61">
        <f>Uscite!$C55/Arrivi!C9</f>
        <v>0.59527387300048473</v>
      </c>
      <c r="G55" s="6"/>
      <c r="H55" s="56" t="s">
        <v>20</v>
      </c>
      <c r="I55" s="74">
        <f>Dati_OPTN!C55/365</f>
        <v>26.887671232876713</v>
      </c>
      <c r="J55" s="61">
        <f>I55/Arrivi!H9</f>
        <v>0.63801846313873356</v>
      </c>
      <c r="L55" s="6"/>
      <c r="M55" s="56" t="s">
        <v>20</v>
      </c>
      <c r="N55" s="74">
        <f>AVERAGE(Dati_OPTN!C55:L55)</f>
        <v>7605</v>
      </c>
      <c r="O55" s="4">
        <f t="shared" si="2"/>
        <v>20.835616438356166</v>
      </c>
      <c r="P55" s="61">
        <f>N55/Arrivi!C9</f>
        <v>0.5529568589432865</v>
      </c>
    </row>
    <row r="56" spans="1:16" x14ac:dyDescent="0.25">
      <c r="A56" s="6"/>
      <c r="B56" s="56" t="s">
        <v>22</v>
      </c>
      <c r="C56" s="4">
        <f>AVERAGE(Dati_OPTN!C56:H56)</f>
        <v>657.16666666666663</v>
      </c>
      <c r="D56" s="4">
        <f>Uscite!$C56/365</f>
        <v>1.800456621004566</v>
      </c>
      <c r="E56" s="61">
        <f>Uscite!$C56/Arrivi!C10</f>
        <v>0.14718178424785366</v>
      </c>
      <c r="G56" s="6"/>
      <c r="H56" s="56" t="s">
        <v>22</v>
      </c>
      <c r="I56" s="74">
        <f>Dati_OPTN!C56/365</f>
        <v>2.0630136986301371</v>
      </c>
      <c r="J56" s="61">
        <f>I56/Arrivi!H10</f>
        <v>0.1525217743568969</v>
      </c>
      <c r="L56" s="6"/>
      <c r="M56" s="56" t="s">
        <v>22</v>
      </c>
      <c r="N56" s="74">
        <f>AVERAGE(Dati_OPTN!C56:L56)</f>
        <v>589</v>
      </c>
      <c r="O56" s="4">
        <f t="shared" si="2"/>
        <v>1.6136986301369862</v>
      </c>
      <c r="P56" s="61">
        <f>N56/Arrivi!C10</f>
        <v>0.13191489361702127</v>
      </c>
    </row>
    <row r="57" spans="1:16" x14ac:dyDescent="0.25">
      <c r="A57" s="6" t="s">
        <v>24</v>
      </c>
      <c r="B57" s="56" t="s">
        <v>16</v>
      </c>
      <c r="C57" s="4">
        <f>AVERAGE(Dati_OPTN!C57:H57)</f>
        <v>7104.666666666667</v>
      </c>
      <c r="D57" s="4">
        <f>Uscite!$C57/365</f>
        <v>19.464840182648402</v>
      </c>
      <c r="E57" s="61">
        <f>Uscite!$C57/Arrivi!C11</f>
        <v>0.58387322110972628</v>
      </c>
      <c r="G57" s="6" t="s">
        <v>24</v>
      </c>
      <c r="H57" s="56" t="s">
        <v>16</v>
      </c>
      <c r="I57" s="74">
        <f>Dati_OPTN!C57/365</f>
        <v>22.832876712328765</v>
      </c>
      <c r="J57" s="61">
        <f>I57/Arrivi!H11</f>
        <v>0.6194440315147911</v>
      </c>
      <c r="L57" s="6" t="s">
        <v>24</v>
      </c>
      <c r="M57" s="56" t="s">
        <v>16</v>
      </c>
      <c r="N57" s="74">
        <f>AVERAGE(Dati_OPTN!C57:L57)</f>
        <v>6619.6</v>
      </c>
      <c r="O57" s="4">
        <f t="shared" si="2"/>
        <v>18.135890410958904</v>
      </c>
      <c r="P57" s="61">
        <f>N57/Arrivi!C11</f>
        <v>0.54400964264679708</v>
      </c>
    </row>
    <row r="58" spans="1:16" x14ac:dyDescent="0.25">
      <c r="A58" s="6"/>
      <c r="B58" s="56" t="s">
        <v>18</v>
      </c>
      <c r="C58" s="4">
        <f>AVERAGE(Dati_OPTN!C58:H58)</f>
        <v>4.333333333333333</v>
      </c>
      <c r="D58" s="4">
        <f>Uscite!$C58/365</f>
        <v>1.187214611872146E-2</v>
      </c>
      <c r="E58" s="61">
        <f>Uscite!$C58/Arrivi!C12</f>
        <v>0.40625</v>
      </c>
      <c r="G58" s="6"/>
      <c r="H58" s="56" t="s">
        <v>18</v>
      </c>
      <c r="I58" s="74">
        <f>Dati_OPTN!C58/365</f>
        <v>1.3698630136986301E-2</v>
      </c>
      <c r="J58" s="61">
        <f>I58/Arrivi!H12</f>
        <v>0.5</v>
      </c>
      <c r="L58" s="6"/>
      <c r="M58" s="56" t="s">
        <v>18</v>
      </c>
      <c r="N58" s="74">
        <f>AVERAGE(Dati_OPTN!C58:L58)</f>
        <v>6</v>
      </c>
      <c r="O58" s="4">
        <f t="shared" si="2"/>
        <v>1.643835616438356E-2</v>
      </c>
      <c r="P58" s="61">
        <f>N58/Arrivi!C12</f>
        <v>0.5625</v>
      </c>
    </row>
    <row r="59" spans="1:16" x14ac:dyDescent="0.25">
      <c r="A59" s="6"/>
      <c r="B59" s="56" t="s">
        <v>20</v>
      </c>
      <c r="C59" s="4">
        <f>AVERAGE(Dati_OPTN!C59:H59)</f>
        <v>6475</v>
      </c>
      <c r="D59" s="4">
        <f>Uscite!$C59/365</f>
        <v>17.739726027397261</v>
      </c>
      <c r="E59" s="61">
        <f>Uscite!$C59/Arrivi!C13</f>
        <v>0.71919139562005963</v>
      </c>
      <c r="G59" s="6"/>
      <c r="H59" s="56" t="s">
        <v>20</v>
      </c>
      <c r="I59" s="74">
        <f>Dati_OPTN!C59/365</f>
        <v>20.860273972602741</v>
      </c>
      <c r="J59" s="61">
        <f>I59/Arrivi!H13</f>
        <v>0.767927382753404</v>
      </c>
      <c r="L59" s="6"/>
      <c r="M59" s="56" t="s">
        <v>20</v>
      </c>
      <c r="N59" s="74">
        <f>AVERAGE(Dati_OPTN!C59:L59)</f>
        <v>6052</v>
      </c>
      <c r="O59" s="4">
        <f t="shared" si="2"/>
        <v>16.580821917808219</v>
      </c>
      <c r="P59" s="61">
        <f>N59/Arrivi!C13</f>
        <v>0.67220792684055619</v>
      </c>
    </row>
    <row r="60" spans="1:16" x14ac:dyDescent="0.25">
      <c r="A60" s="6"/>
      <c r="B60" s="56" t="s">
        <v>22</v>
      </c>
      <c r="C60" s="4">
        <f>AVERAGE(Dati_OPTN!C60:H60)</f>
        <v>625.33333333333337</v>
      </c>
      <c r="D60" s="4">
        <f>Uscite!$C60/365</f>
        <v>1.7132420091324201</v>
      </c>
      <c r="E60" s="61">
        <f>Uscite!$C60/Arrivi!C14</f>
        <v>0.19824579942935644</v>
      </c>
      <c r="G60" s="6"/>
      <c r="H60" s="56" t="s">
        <v>22</v>
      </c>
      <c r="I60" s="74">
        <f>Dati_OPTN!C60/365</f>
        <v>1.9589041095890412</v>
      </c>
      <c r="J60" s="61">
        <f>I60/Arrivi!H14</f>
        <v>0.20260697081326157</v>
      </c>
      <c r="L60" s="6"/>
      <c r="M60" s="56" t="s">
        <v>22</v>
      </c>
      <c r="N60" s="74">
        <f>AVERAGE(Dati_OPTN!C60:L60)</f>
        <v>561.6</v>
      </c>
      <c r="O60" s="4">
        <f t="shared" si="2"/>
        <v>1.5386301369863014</v>
      </c>
      <c r="P60" s="61">
        <f>N60/Arrivi!C14</f>
        <v>0.17804079044700413</v>
      </c>
    </row>
    <row r="61" spans="1:16" x14ac:dyDescent="0.25">
      <c r="A61" s="6" t="s">
        <v>25</v>
      </c>
      <c r="B61" s="56" t="s">
        <v>16</v>
      </c>
      <c r="C61" s="4">
        <f>AVERAGE(Dati_OPTN!C61:H61)</f>
        <v>2683.5</v>
      </c>
      <c r="D61" s="4">
        <f>Uscite!$C61/365</f>
        <v>7.3520547945205479</v>
      </c>
      <c r="E61" s="61">
        <f>Uscite!$C61/Arrivi!C15</f>
        <v>0.48234025343758424</v>
      </c>
      <c r="G61" s="6" t="s">
        <v>25</v>
      </c>
      <c r="H61" s="56" t="s">
        <v>16</v>
      </c>
      <c r="I61" s="74">
        <f>Dati_OPTN!C61/365</f>
        <v>8.8273972602739725</v>
      </c>
      <c r="J61" s="61">
        <f>I61/Arrivi!H15</f>
        <v>0.52407286922576446</v>
      </c>
      <c r="L61" s="6" t="s">
        <v>25</v>
      </c>
      <c r="M61" s="56" t="s">
        <v>16</v>
      </c>
      <c r="N61" s="74">
        <f>AVERAGE(Dati_OPTN!C61:L61)</f>
        <v>2458.9</v>
      </c>
      <c r="O61" s="4">
        <f t="shared" si="2"/>
        <v>6.7367123287671236</v>
      </c>
      <c r="P61" s="61">
        <f>N61/Arrivi!C15</f>
        <v>0.44196998292441808</v>
      </c>
    </row>
    <row r="62" spans="1:16" x14ac:dyDescent="0.25">
      <c r="A62" s="6"/>
      <c r="B62" s="56" t="s">
        <v>18</v>
      </c>
      <c r="C62" s="4">
        <f>AVERAGE(Dati_OPTN!C62:H62)</f>
        <v>3.8333333333333335</v>
      </c>
      <c r="D62" s="4">
        <f>Uscite!$C62/365</f>
        <v>1.0502283105022832E-2</v>
      </c>
      <c r="E62" s="61">
        <f>Uscite!$C62/Arrivi!C16</f>
        <v>0.63888888888888895</v>
      </c>
      <c r="G62" s="6"/>
      <c r="H62" s="56" t="s">
        <v>18</v>
      </c>
      <c r="I62" s="74">
        <f>Dati_OPTN!C62/365</f>
        <v>5.4794520547945206E-3</v>
      </c>
      <c r="J62" s="61">
        <f>I62/Arrivi!H16</f>
        <v>0.2</v>
      </c>
      <c r="L62" s="6"/>
      <c r="M62" s="56" t="s">
        <v>18</v>
      </c>
      <c r="N62" s="74">
        <f>AVERAGE(Dati_OPTN!C62:L62)</f>
        <v>4.3</v>
      </c>
      <c r="O62" s="4">
        <f t="shared" si="2"/>
        <v>1.1780821917808219E-2</v>
      </c>
      <c r="P62" s="61">
        <f>N62/Arrivi!C16</f>
        <v>0.71666666666666667</v>
      </c>
    </row>
    <row r="63" spans="1:16" x14ac:dyDescent="0.25">
      <c r="A63" s="6"/>
      <c r="B63" s="56" t="s">
        <v>20</v>
      </c>
      <c r="C63" s="4">
        <f>AVERAGE(Dati_OPTN!C63:H63)</f>
        <v>2481.5</v>
      </c>
      <c r="D63" s="4">
        <f>Uscite!$C63/365</f>
        <v>6.7986301369863016</v>
      </c>
      <c r="E63" s="61">
        <f>Uscite!$C63/Arrivi!C17</f>
        <v>0.59111481657932352</v>
      </c>
      <c r="G63" s="6"/>
      <c r="H63" s="56" t="s">
        <v>20</v>
      </c>
      <c r="I63" s="74">
        <f>Dati_OPTN!C63/365</f>
        <v>8.117808219178082</v>
      </c>
      <c r="J63" s="61">
        <f>I63/Arrivi!H17</f>
        <v>0.63190445724034972</v>
      </c>
      <c r="L63" s="6"/>
      <c r="M63" s="56" t="s">
        <v>20</v>
      </c>
      <c r="N63" s="74">
        <f>AVERAGE(Dati_OPTN!C63:L63)</f>
        <v>2279.5</v>
      </c>
      <c r="O63" s="4">
        <f t="shared" si="2"/>
        <v>6.2452054794520544</v>
      </c>
      <c r="P63" s="61">
        <f>N63/Arrivi!C17</f>
        <v>0.54299666507860889</v>
      </c>
    </row>
    <row r="64" spans="1:16" x14ac:dyDescent="0.25">
      <c r="A64" s="6"/>
      <c r="B64" s="56" t="s">
        <v>22</v>
      </c>
      <c r="C64" s="4">
        <f>AVERAGE(Dati_OPTN!C64:H64)</f>
        <v>198.16666666666666</v>
      </c>
      <c r="D64" s="4">
        <f>Uscite!$C64/365</f>
        <v>0.54292237442922375</v>
      </c>
      <c r="E64" s="61">
        <f>Uscite!$C64/Arrivi!C18</f>
        <v>0.14576437415716562</v>
      </c>
      <c r="G64" s="6"/>
      <c r="H64" s="56" t="s">
        <v>22</v>
      </c>
      <c r="I64" s="74">
        <f>Dati_OPTN!C64/365</f>
        <v>0.70410958904109588</v>
      </c>
      <c r="J64" s="61">
        <f>I64/Arrivi!H18</f>
        <v>0.17736369910282954</v>
      </c>
      <c r="L64" s="6"/>
      <c r="M64" s="56" t="s">
        <v>22</v>
      </c>
      <c r="N64" s="74">
        <f>AVERAGE(Dati_OPTN!C64:L64)</f>
        <v>175.1</v>
      </c>
      <c r="O64" s="4">
        <f t="shared" si="2"/>
        <v>0.47972602739726028</v>
      </c>
      <c r="P64" s="61">
        <f>N64/Arrivi!C18</f>
        <v>0.12879735196763514</v>
      </c>
    </row>
    <row r="65" spans="1:16" x14ac:dyDescent="0.25">
      <c r="A65" s="6" t="s">
        <v>26</v>
      </c>
      <c r="B65" s="56" t="s">
        <v>16</v>
      </c>
      <c r="C65" s="4">
        <f>AVERAGE(Dati_OPTN!C65:H65)</f>
        <v>958.83333333333337</v>
      </c>
      <c r="D65" s="4">
        <f>Uscite!$C65/365</f>
        <v>2.6269406392694066</v>
      </c>
      <c r="E65" s="61">
        <f>Uscite!$C65/Arrivi!C19</f>
        <v>0.67294420400046795</v>
      </c>
      <c r="G65" s="6" t="s">
        <v>26</v>
      </c>
      <c r="H65" s="56" t="s">
        <v>16</v>
      </c>
      <c r="I65" s="74">
        <f>Dati_OPTN!C65/365</f>
        <v>3.2082191780821918</v>
      </c>
      <c r="J65" s="61">
        <f>I65/Arrivi!H19</f>
        <v>0.73555276381909551</v>
      </c>
      <c r="L65" s="6" t="s">
        <v>26</v>
      </c>
      <c r="M65" s="56" t="s">
        <v>16</v>
      </c>
      <c r="N65" s="74">
        <f>AVERAGE(Dati_OPTN!C65:L65)</f>
        <v>896.7</v>
      </c>
      <c r="O65" s="4">
        <f t="shared" si="2"/>
        <v>2.4567123287671233</v>
      </c>
      <c r="P65" s="61">
        <f>N65/Arrivi!C19</f>
        <v>0.62933676453386367</v>
      </c>
    </row>
    <row r="66" spans="1:16" x14ac:dyDescent="0.25">
      <c r="A66" s="6"/>
      <c r="B66" s="56" t="s">
        <v>18</v>
      </c>
      <c r="C66" s="4">
        <f>AVERAGE(Dati_OPTN!C66:H66)</f>
        <v>0.83333333333333337</v>
      </c>
      <c r="D66" s="4">
        <f>Uscite!$C66/365</f>
        <v>2.2831050228310505E-3</v>
      </c>
      <c r="E66" s="61">
        <f>Uscite!$C66/Arrivi!C20</f>
        <v>0.5</v>
      </c>
      <c r="G66" s="6"/>
      <c r="H66" s="56" t="s">
        <v>18</v>
      </c>
      <c r="I66" s="74">
        <f>Dati_OPTN!C66/365</f>
        <v>8.21917808219178E-3</v>
      </c>
      <c r="J66" s="61">
        <f>I66/Arrivi!H20</f>
        <v>1.4999999999999998</v>
      </c>
      <c r="L66" s="6"/>
      <c r="M66" s="56" t="s">
        <v>18</v>
      </c>
      <c r="N66" s="74">
        <f>AVERAGE(Dati_OPTN!C66:L66)</f>
        <v>0.9</v>
      </c>
      <c r="O66" s="4">
        <f t="shared" si="2"/>
        <v>2.4657534246575342E-3</v>
      </c>
      <c r="P66" s="61">
        <f>N66/Arrivi!C20</f>
        <v>0.54</v>
      </c>
    </row>
    <row r="67" spans="1:16" x14ac:dyDescent="0.25">
      <c r="A67" s="6"/>
      <c r="B67" s="56" t="s">
        <v>20</v>
      </c>
      <c r="C67" s="4">
        <f>AVERAGE(Dati_OPTN!C67:H67)</f>
        <v>892.66666666666663</v>
      </c>
      <c r="D67" s="4">
        <f>Uscite!$C67/365</f>
        <v>2.4456621004566208</v>
      </c>
      <c r="E67" s="61">
        <f>Uscite!$C67/Arrivi!C21</f>
        <v>0.84921515776121759</v>
      </c>
      <c r="G67" s="6"/>
      <c r="H67" s="56" t="s">
        <v>20</v>
      </c>
      <c r="I67" s="74">
        <f>Dati_OPTN!C67/365</f>
        <v>3.0136986301369864</v>
      </c>
      <c r="J67" s="61">
        <f>I67/Arrivi!H21</f>
        <v>0.94827586206896564</v>
      </c>
      <c r="L67" s="6"/>
      <c r="M67" s="56" t="s">
        <v>20</v>
      </c>
      <c r="N67" s="74">
        <f>AVERAGE(Dati_OPTN!C67:L67)</f>
        <v>835</v>
      </c>
      <c r="O67" s="4">
        <f t="shared" si="2"/>
        <v>2.2876712328767121</v>
      </c>
      <c r="P67" s="61">
        <f>N67/Arrivi!C21</f>
        <v>0.79435547804027262</v>
      </c>
    </row>
    <row r="68" spans="1:16" x14ac:dyDescent="0.25">
      <c r="A68" s="55"/>
      <c r="B68" s="57" t="s">
        <v>22</v>
      </c>
      <c r="C68" s="70">
        <f>AVERAGE(Dati_OPTN!C68:H68)</f>
        <v>65.333333333333329</v>
      </c>
      <c r="D68" s="70">
        <f>Uscite!$C68/365</f>
        <v>0.17899543378995433</v>
      </c>
      <c r="E68" s="62">
        <f>Uscite!$C68/Arrivi!C22</f>
        <v>0.17562724014336917</v>
      </c>
      <c r="G68" s="55"/>
      <c r="H68" s="57" t="s">
        <v>22</v>
      </c>
      <c r="I68" s="75">
        <f>Dati_OPTN!C68/365</f>
        <v>0.18630136986301371</v>
      </c>
      <c r="J68" s="62">
        <f>I68/Arrivi!H22</f>
        <v>0.15813953488372093</v>
      </c>
      <c r="L68" s="55"/>
      <c r="M68" s="57" t="s">
        <v>22</v>
      </c>
      <c r="N68" s="75">
        <f>AVERAGE(Dati_OPTN!C68:L68)</f>
        <v>60.8</v>
      </c>
      <c r="O68" s="70">
        <f t="shared" si="2"/>
        <v>0.16657534246575342</v>
      </c>
      <c r="P68" s="62">
        <f>N68/Arrivi!C22</f>
        <v>0.16344086021505375</v>
      </c>
    </row>
  </sheetData>
  <mergeCells count="9"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abSelected="1" topLeftCell="A27" zoomScaleNormal="100" workbookViewId="0">
      <selection activeCell="K47" sqref="K47"/>
    </sheetView>
  </sheetViews>
  <sheetFormatPr defaultColWidth="8.7109375" defaultRowHeight="15" x14ac:dyDescent="0.25"/>
  <cols>
    <col min="2" max="2" width="14" customWidth="1"/>
    <col min="3" max="3" width="20.5703125" customWidth="1"/>
    <col min="4" max="4" width="22" customWidth="1"/>
    <col min="5" max="5" width="23.140625" customWidth="1"/>
    <col min="6" max="6" width="26.140625" customWidth="1"/>
    <col min="7" max="7" width="26.7109375" customWidth="1"/>
    <col min="8" max="8" width="27.140625" customWidth="1"/>
    <col min="9" max="9" width="26.140625" customWidth="1"/>
    <col min="10" max="10" width="27.7109375" customWidth="1"/>
    <col min="11" max="11" width="14.140625" customWidth="1"/>
    <col min="12" max="12" width="29.42578125" customWidth="1"/>
    <col min="13" max="13" width="13.140625" customWidth="1"/>
    <col min="14" max="14" width="16.7109375" customWidth="1"/>
  </cols>
  <sheetData>
    <row r="1" spans="1:12" ht="15.75" thickBot="1" x14ac:dyDescent="0.3">
      <c r="A1" s="107" t="s">
        <v>60</v>
      </c>
      <c r="B1" s="107"/>
      <c r="C1" s="107"/>
      <c r="D1" s="107"/>
      <c r="E1" s="107"/>
      <c r="F1" s="107"/>
      <c r="G1" s="107"/>
      <c r="H1" s="107"/>
      <c r="J1" s="107" t="s">
        <v>64</v>
      </c>
      <c r="K1" s="107"/>
      <c r="L1" s="107"/>
    </row>
    <row r="2" spans="1:12" ht="15.75" thickBot="1" x14ac:dyDescent="0.3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  <c r="J2" s="24" t="s">
        <v>2</v>
      </c>
      <c r="K2" s="25" t="s">
        <v>40</v>
      </c>
      <c r="L2" s="26" t="s">
        <v>208</v>
      </c>
    </row>
    <row r="3" spans="1:12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  <c r="J3" s="31" t="s">
        <v>23</v>
      </c>
      <c r="K3" s="32" t="s">
        <v>57</v>
      </c>
      <c r="L3" s="23">
        <v>22.4118721461187</v>
      </c>
    </row>
    <row r="4" spans="1:12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  <c r="J4" s="16"/>
      <c r="K4" s="17" t="s">
        <v>58</v>
      </c>
      <c r="L4" s="15">
        <v>12.1068493150685</v>
      </c>
    </row>
    <row r="5" spans="1:12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  <c r="J5" s="16"/>
      <c r="K5" s="17" t="s">
        <v>59</v>
      </c>
      <c r="L5" s="15">
        <v>10.3050228310502</v>
      </c>
    </row>
    <row r="6" spans="1:12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  <c r="J6" s="16" t="s">
        <v>24</v>
      </c>
      <c r="K6" s="17" t="s">
        <v>57</v>
      </c>
      <c r="L6" s="15">
        <v>13.938356164383601</v>
      </c>
    </row>
    <row r="7" spans="1:12" ht="15.75" thickBot="1" x14ac:dyDescent="0.3">
      <c r="A7" s="20"/>
      <c r="B7" s="20"/>
      <c r="C7" s="20"/>
      <c r="D7" s="20"/>
      <c r="E7" s="28"/>
      <c r="F7" s="5"/>
      <c r="G7" s="5"/>
      <c r="J7" s="16"/>
      <c r="K7" s="17" t="s">
        <v>58</v>
      </c>
      <c r="L7" s="15">
        <v>9.3986301369863003</v>
      </c>
    </row>
    <row r="8" spans="1:12" ht="15.75" thickBot="1" x14ac:dyDescent="0.3">
      <c r="A8" s="107" t="s">
        <v>63</v>
      </c>
      <c r="B8" s="107"/>
      <c r="C8" s="107"/>
      <c r="D8" s="107"/>
      <c r="E8" s="107"/>
      <c r="F8" s="107"/>
      <c r="J8" s="16"/>
      <c r="K8" s="17" t="s">
        <v>59</v>
      </c>
      <c r="L8" s="15">
        <v>4.5397260273972604</v>
      </c>
    </row>
    <row r="9" spans="1:12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  <c r="J9" s="16" t="s">
        <v>25</v>
      </c>
      <c r="K9" s="17" t="s">
        <v>57</v>
      </c>
      <c r="L9" s="15">
        <v>4.3242009132420103</v>
      </c>
    </row>
    <row r="10" spans="1:12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>C10*(1-D10-E10)</f>
        <v>4.2922374429223795E-2</v>
      </c>
      <c r="J10" s="16"/>
      <c r="K10" s="17" t="s">
        <v>58</v>
      </c>
      <c r="L10" s="15">
        <v>2.9876712328767101</v>
      </c>
    </row>
    <row r="11" spans="1:12" x14ac:dyDescent="0.25">
      <c r="A11" s="19"/>
      <c r="B11" s="14" t="s">
        <v>20</v>
      </c>
      <c r="C11" s="15">
        <v>37.6803652968037</v>
      </c>
      <c r="D11" s="23">
        <v>6.6444498303441596E-2</v>
      </c>
      <c r="E11" s="23">
        <v>0.11062772661173048</v>
      </c>
      <c r="F11" s="30">
        <f>C11*(1-D11-E11)</f>
        <v>31.008219178082232</v>
      </c>
      <c r="J11" s="16"/>
      <c r="K11" s="17" t="s">
        <v>59</v>
      </c>
      <c r="L11" s="15">
        <v>1.3365296803653</v>
      </c>
    </row>
    <row r="12" spans="1:12" x14ac:dyDescent="0.25">
      <c r="A12" s="13" t="s">
        <v>24</v>
      </c>
      <c r="B12" s="14" t="s">
        <v>18</v>
      </c>
      <c r="C12" s="15">
        <v>2.92237442922374E-2</v>
      </c>
      <c r="D12" s="23">
        <v>3.125E-2</v>
      </c>
      <c r="E12" s="23">
        <v>4.6875E-2</v>
      </c>
      <c r="F12" s="30">
        <f>C12*(1-D12-E12)</f>
        <v>2.6940639269406354E-2</v>
      </c>
      <c r="J12" s="16" t="s">
        <v>26</v>
      </c>
      <c r="K12" s="17" t="s">
        <v>57</v>
      </c>
      <c r="L12" s="15">
        <v>1.09041095890411</v>
      </c>
    </row>
    <row r="13" spans="1:12" x14ac:dyDescent="0.25">
      <c r="A13" s="19"/>
      <c r="B13" s="14" t="s">
        <v>20</v>
      </c>
      <c r="C13" s="15">
        <v>24.666210045662101</v>
      </c>
      <c r="D13" s="23">
        <v>4.9482589459264335E-2</v>
      </c>
      <c r="E13" s="23">
        <v>9.4781465780558696E-2</v>
      </c>
      <c r="F13" s="30">
        <f>C13*(1-D13-E13)</f>
        <v>21.107762557077628</v>
      </c>
      <c r="J13" s="16"/>
      <c r="K13" s="17" t="s">
        <v>58</v>
      </c>
      <c r="L13" s="15">
        <v>0.87168949771689497</v>
      </c>
    </row>
    <row r="14" spans="1:12" x14ac:dyDescent="0.25">
      <c r="A14" s="13" t="s">
        <v>25</v>
      </c>
      <c r="B14" s="14" t="s">
        <v>18</v>
      </c>
      <c r="C14" s="15">
        <v>1.6438356164383602E-2</v>
      </c>
      <c r="D14" s="23">
        <v>0</v>
      </c>
      <c r="E14" s="23">
        <v>0</v>
      </c>
      <c r="F14" s="30">
        <f>C14*(1-D14-E14)</f>
        <v>1.6438356164383602E-2</v>
      </c>
      <c r="J14" s="16"/>
      <c r="K14" s="17" t="s">
        <v>59</v>
      </c>
      <c r="L14" s="15">
        <v>0.218721461187215</v>
      </c>
    </row>
    <row r="15" spans="1:12" x14ac:dyDescent="0.25">
      <c r="A15" s="19"/>
      <c r="B15" s="14" t="s">
        <v>20</v>
      </c>
      <c r="C15" s="15">
        <v>11.5013698630137</v>
      </c>
      <c r="D15" s="23">
        <v>6.7452755280292209E-2</v>
      </c>
      <c r="E15" s="23">
        <v>0.1081467365412101</v>
      </c>
      <c r="F15" s="30">
        <f>C15*(1-D15-E15)</f>
        <v>9.4817351598173527</v>
      </c>
    </row>
    <row r="16" spans="1:12" x14ac:dyDescent="0.25">
      <c r="A16" s="13" t="s">
        <v>26</v>
      </c>
      <c r="B16" s="14" t="s">
        <v>18</v>
      </c>
      <c r="C16" s="15">
        <v>4.5662100456621002E-3</v>
      </c>
      <c r="D16" s="23">
        <v>0</v>
      </c>
      <c r="E16" s="23">
        <v>0.3</v>
      </c>
      <c r="F16" s="30">
        <f>C16*(1-D16-E16)</f>
        <v>3.1963470319634701E-3</v>
      </c>
    </row>
    <row r="17" spans="1:13" x14ac:dyDescent="0.25">
      <c r="A17" s="19"/>
      <c r="B17" s="14" t="s">
        <v>20</v>
      </c>
      <c r="C17" s="15">
        <v>2.8799086757990899</v>
      </c>
      <c r="D17" s="23">
        <v>3.662597114317425E-2</v>
      </c>
      <c r="E17" s="23">
        <v>7.3251942286348501E-2</v>
      </c>
      <c r="F17" s="30">
        <f>C17*(1-D17-E17)</f>
        <v>2.5634703196347064</v>
      </c>
    </row>
    <row r="18" spans="1:13" ht="15.75" thickBot="1" x14ac:dyDescent="0.3">
      <c r="A18" s="20"/>
      <c r="B18" s="20"/>
      <c r="C18" s="20"/>
      <c r="D18" s="20"/>
      <c r="F18" s="28"/>
    </row>
    <row r="19" spans="1:13" ht="15.75" thickBot="1" x14ac:dyDescent="0.3">
      <c r="A19" s="120" t="s">
        <v>213</v>
      </c>
      <c r="B19" s="121"/>
      <c r="C19" s="121"/>
      <c r="D19" s="121"/>
      <c r="E19" s="121"/>
      <c r="F19" s="121"/>
      <c r="G19" s="121"/>
      <c r="H19" s="121"/>
      <c r="I19" s="122"/>
    </row>
    <row r="20" spans="1:13" ht="15.75" thickBot="1" x14ac:dyDescent="0.3">
      <c r="A20" s="24" t="s">
        <v>2</v>
      </c>
      <c r="B20" s="25" t="s">
        <v>3</v>
      </c>
      <c r="C20" s="21" t="s">
        <v>46</v>
      </c>
      <c r="D20" s="1" t="s">
        <v>47</v>
      </c>
      <c r="E20" s="1"/>
      <c r="F20" s="1" t="s">
        <v>48</v>
      </c>
      <c r="G20" s="1" t="s">
        <v>49</v>
      </c>
      <c r="H20" s="1" t="s">
        <v>50</v>
      </c>
      <c r="I20" s="1" t="s">
        <v>51</v>
      </c>
    </row>
    <row r="21" spans="1:13" ht="15.75" thickBot="1" x14ac:dyDescent="0.3">
      <c r="A21" s="33"/>
      <c r="B21" s="34"/>
      <c r="C21" s="125" t="s">
        <v>214</v>
      </c>
      <c r="D21" s="11" t="s">
        <v>55</v>
      </c>
      <c r="E21" s="12" t="s">
        <v>56</v>
      </c>
      <c r="F21" s="76"/>
      <c r="G21" s="76"/>
      <c r="H21" s="76"/>
      <c r="I21" s="77"/>
    </row>
    <row r="22" spans="1:13" x14ac:dyDescent="0.25">
      <c r="A22" s="22" t="s">
        <v>23</v>
      </c>
      <c r="B22" s="10" t="s">
        <v>18</v>
      </c>
      <c r="C22" s="78">
        <f>IF(B22="Critical",MAX(1/L3,1/(F10+F11)),MAX(1/L2,1/(F9+F10)))</f>
        <v>4.4619208671203336E-2</v>
      </c>
      <c r="D22" s="78">
        <f>F10*C22</f>
        <v>1.9151623813210587E-3</v>
      </c>
      <c r="E22" s="78">
        <f>IF(B22="Critical", SUM(D22:D23), E21)</f>
        <v>1.3854773644105816</v>
      </c>
      <c r="F22" s="78">
        <f>IF(B22="Critical",(E22*C22)/(1-D22),IF(B22="Normal",(E22*C22)/((1-D21)*(1-E22))))</f>
        <v>6.1937524047913292E-2</v>
      </c>
      <c r="G22" s="78">
        <f t="shared" ref="G22:G29" si="4">F22+C22</f>
        <v>0.10655673271911663</v>
      </c>
      <c r="H22" s="78">
        <f>F22*$F10</f>
        <v>2.6585055984035873E-3</v>
      </c>
      <c r="I22" s="78">
        <f>G22*$F10</f>
        <v>4.573667979724646E-3</v>
      </c>
    </row>
    <row r="23" spans="1:13" x14ac:dyDescent="0.25">
      <c r="A23" s="19"/>
      <c r="B23" s="14" t="s">
        <v>20</v>
      </c>
      <c r="C23" s="78">
        <f>IF(B23="Critical",MAX(1/L4,1/(F11+F12)),MAX(1/L3,1/(F10+F11)))</f>
        <v>4.4619208671203336E-2</v>
      </c>
      <c r="D23" s="79">
        <f>F11*C23</f>
        <v>1.3835622020292604</v>
      </c>
      <c r="E23" s="78">
        <f>IF(B23="Critical", SUM(D23:D24), E22)</f>
        <v>1.3854773644105816</v>
      </c>
      <c r="F23" s="79">
        <f>IF(B23="Critical",(E23*C23)/(1-D23),IF(B23="Normal",(E23*C23)/((1-D22)*(1-E23))))</f>
        <v>-0.1606774606405737</v>
      </c>
      <c r="G23" s="79">
        <f t="shared" si="4"/>
        <v>-0.11605825196937036</v>
      </c>
      <c r="H23" s="79">
        <f>F23*$F11</f>
        <v>-4.9823219165205908</v>
      </c>
      <c r="I23" s="79">
        <f>G23*$F11</f>
        <v>-3.5987597144913299</v>
      </c>
    </row>
    <row r="24" spans="1:13" x14ac:dyDescent="0.25">
      <c r="A24" s="13" t="s">
        <v>24</v>
      </c>
      <c r="B24" s="14" t="s">
        <v>18</v>
      </c>
      <c r="C24" s="78">
        <f>IF(B24="Critical",MAX(1/L6,1/(F12+F13)),MAX(1/L5,1/(F11+F12)))</f>
        <v>7.1744471744471544E-2</v>
      </c>
      <c r="D24" s="79">
        <f>F12*C24</f>
        <v>1.9328419328419246E-3</v>
      </c>
      <c r="E24" s="78">
        <f>IF(B24="Critical", SUM(D24:D25), E23)</f>
        <v>1.5162981162981122</v>
      </c>
      <c r="F24" s="79">
        <f t="shared" ref="F22:F29" si="5">IF(B24="Critical",(E24*C24)/(1-D24),IF(B24="Normal",(E24*C24)/((1-D23)*(1-E24))))</f>
        <v>0.10899668071597375</v>
      </c>
      <c r="G24" s="79">
        <f t="shared" si="4"/>
        <v>0.18074115246044531</v>
      </c>
      <c r="H24" s="79">
        <f>F24*$F12</f>
        <v>2.9364402567317086E-3</v>
      </c>
      <c r="I24" s="79">
        <f>G24*$F12</f>
        <v>4.8692821895736337E-3</v>
      </c>
    </row>
    <row r="25" spans="1:13" x14ac:dyDescent="0.25">
      <c r="A25" s="19"/>
      <c r="B25" s="14" t="s">
        <v>20</v>
      </c>
      <c r="C25" s="78">
        <f>IF(B25="Critical",MAX(1/L7,1/(F13+F14)),MAX(1/L6,1/(F12+F13)))</f>
        <v>7.1744471744471544E-2</v>
      </c>
      <c r="D25" s="79">
        <f>F13*C25</f>
        <v>1.5143652743652702</v>
      </c>
      <c r="E25" s="78">
        <f>IF(B25="Critical", SUM(D25:D26), E24)</f>
        <v>1.5162981162981122</v>
      </c>
      <c r="F25" s="79">
        <f t="shared" si="5"/>
        <v>-0.21111190855679729</v>
      </c>
      <c r="G25" s="79">
        <f t="shared" si="4"/>
        <v>-0.13936743681232575</v>
      </c>
      <c r="H25" s="79">
        <f>F25*$F13</f>
        <v>-4.456100038788362</v>
      </c>
      <c r="I25" s="79">
        <f>G25*$F13</f>
        <v>-2.9417347644230918</v>
      </c>
    </row>
    <row r="26" spans="1:13" x14ac:dyDescent="0.25">
      <c r="A26" s="13" t="s">
        <v>25</v>
      </c>
      <c r="B26" s="14" t="s">
        <v>18</v>
      </c>
      <c r="C26" s="78">
        <f>IF(B26="Critical",MAX(1/L9,1/(F14+F15)),MAX(1/L8,1/(F13+F14)))</f>
        <v>0.23125659978880669</v>
      </c>
      <c r="D26" s="79">
        <f>F14*C26</f>
        <v>3.8014783526927219E-3</v>
      </c>
      <c r="E26" s="78">
        <f>IF(B26="Critical", SUM(D26:D27), E25)</f>
        <v>2.1965153115100313</v>
      </c>
      <c r="F26" s="79">
        <f t="shared" si="5"/>
        <v>0.50989702482583921</v>
      </c>
      <c r="G26" s="79">
        <f t="shared" si="4"/>
        <v>0.74115362461464596</v>
      </c>
      <c r="H26" s="79">
        <f>F26*$F14</f>
        <v>8.3818689012466925E-3</v>
      </c>
      <c r="I26" s="79">
        <f>G26*$F14</f>
        <v>1.2183347253939415E-2</v>
      </c>
    </row>
    <row r="27" spans="1:13" x14ac:dyDescent="0.25">
      <c r="A27" s="19"/>
      <c r="B27" s="14" t="s">
        <v>20</v>
      </c>
      <c r="C27" s="78">
        <f>IF(B27="Critical",MAX(1/L10,1/(F15+F16)),MAX(1/L9,1/(F14+F15)))</f>
        <v>0.23125659978880669</v>
      </c>
      <c r="D27" s="79">
        <f>F15*C27</f>
        <v>2.1927138331573386</v>
      </c>
      <c r="E27" s="78">
        <f>IF(B27="Critical", SUM(D27:D28), E26)</f>
        <v>2.1965153115100313</v>
      </c>
      <c r="F27" s="79">
        <f t="shared" si="5"/>
        <v>-0.42615169226905819</v>
      </c>
      <c r="G27" s="79">
        <f t="shared" si="4"/>
        <v>-0.1948950924802515</v>
      </c>
      <c r="H27" s="79">
        <f>F27*$F15</f>
        <v>-4.0406574840031935</v>
      </c>
      <c r="I27" s="79">
        <f>G27*$F15</f>
        <v>-1.8479436508458551</v>
      </c>
    </row>
    <row r="28" spans="1:13" x14ac:dyDescent="0.25">
      <c r="A28" s="13" t="s">
        <v>26</v>
      </c>
      <c r="B28" s="14" t="s">
        <v>18</v>
      </c>
      <c r="C28" s="78">
        <f>IF(B28="Critical",MAX(1/L12,1/(F16+F17)),MAX(1/L11,1/(F15+F16)))</f>
        <v>0.91708542713567809</v>
      </c>
      <c r="D28" s="79">
        <f>F16*C28</f>
        <v>2.931323283082076E-3</v>
      </c>
      <c r="E28" s="78">
        <f>IF(B28="Critical", SUM(D28:D29), E27)</f>
        <v>2.3538525963149097</v>
      </c>
      <c r="F28" s="79">
        <f t="shared" si="5"/>
        <v>2.1650303174841037</v>
      </c>
      <c r="G28" s="79">
        <f t="shared" si="4"/>
        <v>3.0821157446197818</v>
      </c>
      <c r="H28" s="79">
        <f>F28*$F16</f>
        <v>6.9201882294012444E-3</v>
      </c>
      <c r="I28" s="79">
        <f>G28*$F16</f>
        <v>9.85151151248332E-3</v>
      </c>
    </row>
    <row r="29" spans="1:13" x14ac:dyDescent="0.25">
      <c r="A29" s="19"/>
      <c r="B29" s="14" t="s">
        <v>20</v>
      </c>
      <c r="C29" s="78">
        <f>IF(B29="Critical",MAX(1/L13,1/(F17+F18)),MAX(1/L12,1/(F16+F17)))</f>
        <v>0.91708542713567809</v>
      </c>
      <c r="D29" s="79">
        <f>F17*C29</f>
        <v>2.3509212730318279</v>
      </c>
      <c r="E29" s="78">
        <f>IF(B29="Critical", SUM(H29:H30), E28)</f>
        <v>2.3538525963149097</v>
      </c>
      <c r="F29" s="79">
        <f t="shared" si="5"/>
        <v>-1.5991625110275387</v>
      </c>
      <c r="G29" s="79">
        <f t="shared" si="4"/>
        <v>-0.68207708389186061</v>
      </c>
      <c r="H29" s="79">
        <f>F29*$F17</f>
        <v>-4.099405633291604</v>
      </c>
      <c r="I29" s="79">
        <f>G29*$F17</f>
        <v>-1.7484843602597764</v>
      </c>
    </row>
    <row r="30" spans="1:13" ht="15.75" thickBot="1" x14ac:dyDescent="0.3"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5.75" thickBot="1" x14ac:dyDescent="0.3">
      <c r="A31" s="120" t="s">
        <v>228</v>
      </c>
      <c r="B31" s="123"/>
      <c r="C31" s="123"/>
      <c r="D31" s="123"/>
      <c r="E31" s="123"/>
      <c r="F31" s="123"/>
      <c r="G31" s="123"/>
      <c r="H31" s="123"/>
      <c r="I31" s="123"/>
      <c r="J31" s="124"/>
    </row>
    <row r="32" spans="1:13" ht="15.75" thickBot="1" x14ac:dyDescent="0.3">
      <c r="A32" s="24" t="s">
        <v>2</v>
      </c>
      <c r="B32" s="25" t="s">
        <v>3</v>
      </c>
      <c r="C32" s="9" t="s">
        <v>215</v>
      </c>
      <c r="D32" s="84" t="s">
        <v>216</v>
      </c>
      <c r="E32" s="1" t="s">
        <v>217</v>
      </c>
      <c r="F32" s="21" t="s">
        <v>46</v>
      </c>
      <c r="G32" s="127" t="s">
        <v>218</v>
      </c>
      <c r="H32" s="1" t="s">
        <v>219</v>
      </c>
      <c r="I32" s="1" t="s">
        <v>48</v>
      </c>
      <c r="J32" s="1" t="s">
        <v>49</v>
      </c>
    </row>
    <row r="33" spans="1:10" x14ac:dyDescent="0.25">
      <c r="A33" s="22" t="s">
        <v>23</v>
      </c>
      <c r="B33" s="10" t="s">
        <v>18</v>
      </c>
      <c r="C33" s="126">
        <f>F10</f>
        <v>4.2922374429223795E-2</v>
      </c>
      <c r="D33" s="75">
        <f>IF(B33="Critical",IF((1/F33)&gt;C33,C33,(1/F33)),((1/F33))-C32)</f>
        <v>4.2922374429223795E-2</v>
      </c>
      <c r="E33" s="78">
        <f>C33-D33</f>
        <v>0</v>
      </c>
      <c r="F33" s="78">
        <f>C22</f>
        <v>4.4619208671203336E-2</v>
      </c>
      <c r="G33" s="78">
        <f>F33*D33</f>
        <v>1.9151623813210587E-3</v>
      </c>
      <c r="H33" s="78">
        <f>IF(B33="Critical", SUM(G33:G34),#REF!)</f>
        <v>1</v>
      </c>
      <c r="I33" s="78">
        <f>IF(B33="Critical",(H33*F33)/(1-G33),IF(H33=1,"inf",(H33*F33)/((1-G32)*(1-H33))))</f>
        <v>4.470482567159309E-2</v>
      </c>
      <c r="J33" s="78">
        <f>F33+I33</f>
        <v>8.9324034342796427E-2</v>
      </c>
    </row>
    <row r="34" spans="1:10" x14ac:dyDescent="0.25">
      <c r="A34" s="19"/>
      <c r="B34" s="14" t="s">
        <v>20</v>
      </c>
      <c r="C34" s="126">
        <f t="shared" ref="C34:C40" si="6">F11</f>
        <v>31.008219178082232</v>
      </c>
      <c r="D34" s="75">
        <f t="shared" ref="D34:D40" si="7">IF(B34="Critical",IF((1/F34)&gt;C34,C34,(1/F34)),((1/F34))-C33)</f>
        <v>22.368949771689476</v>
      </c>
      <c r="E34" s="78">
        <f t="shared" ref="E34:E40" si="8">C34-D34</f>
        <v>8.6392694063927564</v>
      </c>
      <c r="F34" s="78">
        <f t="shared" ref="F34:F40" si="9">C23</f>
        <v>4.4619208671203336E-2</v>
      </c>
      <c r="G34" s="78">
        <f t="shared" ref="G34:G40" si="10">F34*D34</f>
        <v>0.99808483761867894</v>
      </c>
      <c r="H34" s="78">
        <f>IF(B34="Critical", SUM(G34:G35),H33)</f>
        <v>1</v>
      </c>
      <c r="I34" s="78" t="str">
        <f>IF(B34="Critical",(H34*F34)/(1-G34),IF(H34=1,"inf",(H34*F34)/((1-G33)*(1-H34))))</f>
        <v>inf</v>
      </c>
      <c r="J34" s="78" t="e">
        <f t="shared" ref="J34:J40" si="11">F34+I34</f>
        <v>#VALUE!</v>
      </c>
    </row>
    <row r="35" spans="1:10" x14ac:dyDescent="0.25">
      <c r="A35" s="13" t="s">
        <v>24</v>
      </c>
      <c r="B35" s="14" t="s">
        <v>18</v>
      </c>
      <c r="C35" s="126">
        <f t="shared" si="6"/>
        <v>2.6940639269406354E-2</v>
      </c>
      <c r="D35" s="75">
        <f t="shared" si="7"/>
        <v>2.6940639269406354E-2</v>
      </c>
      <c r="E35" s="78">
        <f t="shared" si="8"/>
        <v>0</v>
      </c>
      <c r="F35" s="78">
        <f t="shared" si="9"/>
        <v>7.1744471744471544E-2</v>
      </c>
      <c r="G35" s="78">
        <f t="shared" si="10"/>
        <v>1.9328419328419246E-3</v>
      </c>
      <c r="H35" s="78">
        <f>IF(B35="Critical", SUM(G35:G36),H34)</f>
        <v>1</v>
      </c>
      <c r="I35" s="78">
        <f t="shared" ref="I35:I40" si="12">IF(B35="Critical",(H35*F35)/(1-G35),IF(H35=1,"inf",(H35*F35)/((1-G34)*(1-H35))))</f>
        <v>7.1883411015558132E-2</v>
      </c>
      <c r="J35" s="78">
        <f t="shared" si="11"/>
        <v>0.14362788276002969</v>
      </c>
    </row>
    <row r="36" spans="1:10" x14ac:dyDescent="0.25">
      <c r="A36" s="19"/>
      <c r="B36" s="14" t="s">
        <v>20</v>
      </c>
      <c r="C36" s="126">
        <f t="shared" si="6"/>
        <v>21.107762557077628</v>
      </c>
      <c r="D36" s="75">
        <f t="shared" si="7"/>
        <v>13.911415525114194</v>
      </c>
      <c r="E36" s="78">
        <f t="shared" si="8"/>
        <v>7.1963470319634339</v>
      </c>
      <c r="F36" s="78">
        <f t="shared" si="9"/>
        <v>7.1744471744471544E-2</v>
      </c>
      <c r="G36" s="78">
        <f t="shared" si="10"/>
        <v>0.99806715806715807</v>
      </c>
      <c r="H36" s="78">
        <f>IF(B36="Critical", SUM(G36:G37),H35)</f>
        <v>1</v>
      </c>
      <c r="I36" s="78" t="str">
        <f t="shared" si="12"/>
        <v>inf</v>
      </c>
      <c r="J36" s="78" t="e">
        <f t="shared" si="11"/>
        <v>#VALUE!</v>
      </c>
    </row>
    <row r="37" spans="1:10" x14ac:dyDescent="0.25">
      <c r="A37" s="13" t="s">
        <v>25</v>
      </c>
      <c r="B37" s="14" t="s">
        <v>18</v>
      </c>
      <c r="C37" s="126">
        <f t="shared" si="6"/>
        <v>1.6438356164383602E-2</v>
      </c>
      <c r="D37" s="75">
        <f t="shared" si="7"/>
        <v>1.6438356164383602E-2</v>
      </c>
      <c r="E37" s="78">
        <f t="shared" si="8"/>
        <v>0</v>
      </c>
      <c r="F37" s="78">
        <f t="shared" si="9"/>
        <v>0.23125659978880669</v>
      </c>
      <c r="G37" s="78">
        <f t="shared" si="10"/>
        <v>3.8014783526927219E-3</v>
      </c>
      <c r="H37" s="78">
        <f>IF(B37="Critical", SUM(G37:G38),H36)</f>
        <v>1</v>
      </c>
      <c r="I37" s="78">
        <f t="shared" si="12"/>
        <v>0.23213907144371415</v>
      </c>
      <c r="J37" s="78">
        <f t="shared" si="11"/>
        <v>0.46339567123252084</v>
      </c>
    </row>
    <row r="38" spans="1:10" x14ac:dyDescent="0.25">
      <c r="A38" s="19"/>
      <c r="B38" s="14" t="s">
        <v>20</v>
      </c>
      <c r="C38" s="126">
        <f t="shared" si="6"/>
        <v>9.4817351598173527</v>
      </c>
      <c r="D38" s="75">
        <f t="shared" si="7"/>
        <v>4.307762557077627</v>
      </c>
      <c r="E38" s="78">
        <f t="shared" si="8"/>
        <v>5.1739726027397257</v>
      </c>
      <c r="F38" s="78">
        <f t="shared" si="9"/>
        <v>0.23125659978880669</v>
      </c>
      <c r="G38" s="78">
        <f t="shared" si="10"/>
        <v>0.99619852164730738</v>
      </c>
      <c r="H38" s="78">
        <f>IF(B38="Critical", SUM(G38:G39),H37)</f>
        <v>1</v>
      </c>
      <c r="I38" s="78" t="str">
        <f t="shared" si="12"/>
        <v>inf</v>
      </c>
      <c r="J38" s="78" t="e">
        <f t="shared" si="11"/>
        <v>#VALUE!</v>
      </c>
    </row>
    <row r="39" spans="1:10" x14ac:dyDescent="0.25">
      <c r="A39" s="13" t="s">
        <v>26</v>
      </c>
      <c r="B39" s="14" t="s">
        <v>18</v>
      </c>
      <c r="C39" s="126">
        <f t="shared" si="6"/>
        <v>3.1963470319634701E-3</v>
      </c>
      <c r="D39" s="75">
        <f t="shared" si="7"/>
        <v>3.1963470319634701E-3</v>
      </c>
      <c r="E39" s="78">
        <f t="shared" si="8"/>
        <v>0</v>
      </c>
      <c r="F39" s="78">
        <f t="shared" si="9"/>
        <v>0.91708542713567809</v>
      </c>
      <c r="G39" s="78">
        <f t="shared" si="10"/>
        <v>2.931323283082076E-3</v>
      </c>
      <c r="H39" s="78">
        <f>IF(B39="Critical", SUM(G39:G40),H38)</f>
        <v>1</v>
      </c>
      <c r="I39" s="78">
        <f t="shared" si="12"/>
        <v>0.91978160436791234</v>
      </c>
      <c r="J39" s="78">
        <f t="shared" si="11"/>
        <v>1.8368670315035904</v>
      </c>
    </row>
    <row r="40" spans="1:10" x14ac:dyDescent="0.25">
      <c r="A40" s="19"/>
      <c r="B40" s="14" t="s">
        <v>20</v>
      </c>
      <c r="C40" s="126">
        <f t="shared" si="6"/>
        <v>2.5634703196347064</v>
      </c>
      <c r="D40" s="75">
        <f t="shared" si="7"/>
        <v>1.0872146118721466</v>
      </c>
      <c r="E40" s="78">
        <f t="shared" si="8"/>
        <v>1.4762557077625598</v>
      </c>
      <c r="F40" s="78">
        <f t="shared" si="9"/>
        <v>0.91708542713567809</v>
      </c>
      <c r="G40" s="78">
        <f t="shared" si="10"/>
        <v>0.99706867671691801</v>
      </c>
      <c r="H40" s="78">
        <f>IF(B40="Critical", SUM(D41:D41),H39)</f>
        <v>1</v>
      </c>
      <c r="I40" s="78" t="str">
        <f t="shared" si="12"/>
        <v>inf</v>
      </c>
      <c r="J40" s="78" t="e">
        <f t="shared" si="11"/>
        <v>#VALUE!</v>
      </c>
    </row>
    <row r="41" spans="1:10" ht="15.75" thickBot="1" x14ac:dyDescent="0.3"/>
    <row r="42" spans="1:10" ht="15.75" thickBot="1" x14ac:dyDescent="0.3">
      <c r="A42" s="120" t="s">
        <v>220</v>
      </c>
      <c r="B42" s="123"/>
      <c r="C42" s="123"/>
      <c r="D42" s="123"/>
      <c r="E42" s="123"/>
      <c r="F42" s="123"/>
      <c r="G42" s="123"/>
      <c r="H42" s="124"/>
    </row>
    <row r="43" spans="1:10" ht="15.75" thickBot="1" x14ac:dyDescent="0.3">
      <c r="A43" s="24" t="s">
        <v>2</v>
      </c>
      <c r="B43" s="25" t="s">
        <v>3</v>
      </c>
      <c r="C43" s="9" t="s">
        <v>215</v>
      </c>
      <c r="D43" s="21" t="s">
        <v>46</v>
      </c>
      <c r="E43" s="1" t="s">
        <v>221</v>
      </c>
      <c r="F43" s="127" t="s">
        <v>218</v>
      </c>
      <c r="G43" s="1" t="s">
        <v>219</v>
      </c>
      <c r="H43" s="1" t="s">
        <v>48</v>
      </c>
      <c r="I43" s="1" t="s">
        <v>49</v>
      </c>
    </row>
    <row r="44" spans="1:10" x14ac:dyDescent="0.25">
      <c r="A44" s="22" t="s">
        <v>23</v>
      </c>
      <c r="B44" s="10" t="s">
        <v>18</v>
      </c>
      <c r="C44" s="128">
        <f>E33*10*365</f>
        <v>0</v>
      </c>
      <c r="D44" s="78">
        <f>IF(E33=0,0,F33)</f>
        <v>0</v>
      </c>
      <c r="E44" s="78">
        <f>(C44*D44)</f>
        <v>0</v>
      </c>
      <c r="F44" s="78">
        <f>D44</f>
        <v>0</v>
      </c>
      <c r="G44" s="78">
        <f>IF(B44="Critical", SUM(F44:F45),#REF!)</f>
        <v>4.4619208671203336E-2</v>
      </c>
      <c r="H44" s="78">
        <f>IF(B44="Critical",(G44*D44)/(1-F44),(G44*D44)/((1-F43)*(1-G44)))</f>
        <v>0</v>
      </c>
      <c r="I44" s="78">
        <f>D44+H44</f>
        <v>0</v>
      </c>
    </row>
    <row r="45" spans="1:10" x14ac:dyDescent="0.25">
      <c r="A45" s="19"/>
      <c r="B45" s="14" t="s">
        <v>20</v>
      </c>
      <c r="C45" s="128">
        <f t="shared" ref="C45:C51" si="13">E34*10*365</f>
        <v>31533.333333333561</v>
      </c>
      <c r="D45" s="78">
        <f>IF(E34=0,0,F34)</f>
        <v>4.4619208671203336E-2</v>
      </c>
      <c r="E45" s="78">
        <f>(C45*D45)/365</f>
        <v>3.8547736441058138</v>
      </c>
      <c r="F45" s="78">
        <f>D45</f>
        <v>4.4619208671203336E-2</v>
      </c>
      <c r="G45" s="78">
        <f>IF(B45="Critical", SUM(F45:F46),G44)</f>
        <v>4.4619208671203336E-2</v>
      </c>
      <c r="H45" s="78">
        <f>IF(B45="Critical",(G45*D45)/(1-F45),(G45*D45)/((1-F44)*(1-G45)))</f>
        <v>2.0838536848489168E-3</v>
      </c>
      <c r="I45" s="78">
        <f>D45+H45</f>
        <v>4.6703062356052254E-2</v>
      </c>
    </row>
    <row r="46" spans="1:10" x14ac:dyDescent="0.25">
      <c r="A46" s="13" t="s">
        <v>24</v>
      </c>
      <c r="B46" s="14" t="s">
        <v>18</v>
      </c>
      <c r="C46" s="128">
        <f t="shared" si="13"/>
        <v>0</v>
      </c>
      <c r="D46" s="78">
        <f>IF(E35=0,0,F35)</f>
        <v>0</v>
      </c>
      <c r="E46" s="78">
        <f t="shared" ref="E46:E51" si="14">(C46*D46)/365</f>
        <v>0</v>
      </c>
      <c r="F46" s="78">
        <f>D46</f>
        <v>0</v>
      </c>
      <c r="G46" s="78">
        <f>IF(B46="Critical", SUM(F46:F47),G45)</f>
        <v>7.1744471744471544E-2</v>
      </c>
      <c r="H46" s="78">
        <f>IF(B46="Critical",(G46*D46)/(1-F46),(G46*D46)/((1-F45)*(1-G46)))</f>
        <v>0</v>
      </c>
      <c r="I46" s="78">
        <f>D46+H46</f>
        <v>0</v>
      </c>
    </row>
    <row r="47" spans="1:10" x14ac:dyDescent="0.25">
      <c r="A47" s="19"/>
      <c r="B47" s="14" t="s">
        <v>20</v>
      </c>
      <c r="C47" s="128">
        <f t="shared" si="13"/>
        <v>26266.666666666533</v>
      </c>
      <c r="D47" s="78">
        <f>IF(E36=0,0,F36)</f>
        <v>7.1744471744471544E-2</v>
      </c>
      <c r="E47" s="78">
        <f t="shared" si="14"/>
        <v>5.1629811629811222</v>
      </c>
      <c r="F47" s="78">
        <f>D47</f>
        <v>7.1744471744471544E-2</v>
      </c>
      <c r="G47" s="78">
        <f>IF(B47="Critical", SUM(F47:F48),G46)</f>
        <v>7.1744471744471544E-2</v>
      </c>
      <c r="H47" s="78">
        <f>IF(B47="Critical",(G47*D47)/(1-F47),(G47*D47)/((1-F46)*(1-G47)))</f>
        <v>5.5450994572222414E-3</v>
      </c>
      <c r="I47" s="78">
        <f>D47+H47</f>
        <v>7.7289571201693788E-2</v>
      </c>
    </row>
    <row r="48" spans="1:10" x14ac:dyDescent="0.25">
      <c r="A48" s="13" t="s">
        <v>25</v>
      </c>
      <c r="B48" s="14" t="s">
        <v>18</v>
      </c>
      <c r="C48" s="128">
        <f t="shared" si="13"/>
        <v>0</v>
      </c>
      <c r="D48" s="78">
        <f>IF(E37=0,0,F37)</f>
        <v>0</v>
      </c>
      <c r="E48" s="78">
        <f t="shared" si="14"/>
        <v>0</v>
      </c>
      <c r="F48" s="78">
        <f>D48</f>
        <v>0</v>
      </c>
      <c r="G48" s="78">
        <f>IF(B48="Critical", SUM(F48:F49),G47)</f>
        <v>0.23125659978880669</v>
      </c>
      <c r="H48" s="78">
        <f>IF(B48="Critical",(G48*D48)/(1-F48),(G48*D48)/((1-F47)*(1-G48)))</f>
        <v>0</v>
      </c>
      <c r="I48" s="78">
        <f>D48+H48</f>
        <v>0</v>
      </c>
    </row>
    <row r="49" spans="1:9" x14ac:dyDescent="0.25">
      <c r="A49" s="19"/>
      <c r="B49" s="14" t="s">
        <v>20</v>
      </c>
      <c r="C49" s="128">
        <f t="shared" si="13"/>
        <v>18884.999999999996</v>
      </c>
      <c r="D49" s="78">
        <f>IF(E38=0,0,F38)</f>
        <v>0.23125659978880669</v>
      </c>
      <c r="E49" s="78">
        <f t="shared" si="14"/>
        <v>11.965153115100311</v>
      </c>
      <c r="F49" s="78">
        <f>D49</f>
        <v>0.23125659978880669</v>
      </c>
      <c r="G49" s="78">
        <f>IF(B49="Critical", SUM(F49:F50),G48)</f>
        <v>0.23125659978880669</v>
      </c>
      <c r="H49" s="78">
        <f>IF(B49="Critical",(G49*D49)/(1-F49),(G49*D49)/((1-F48)*(1-G49)))</f>
        <v>6.9567576035369019E-2</v>
      </c>
      <c r="I49" s="78">
        <f>D49+H49</f>
        <v>0.3008241758241757</v>
      </c>
    </row>
    <row r="50" spans="1:9" x14ac:dyDescent="0.25">
      <c r="A50" s="13" t="s">
        <v>26</v>
      </c>
      <c r="B50" s="14" t="s">
        <v>18</v>
      </c>
      <c r="C50" s="128">
        <f t="shared" si="13"/>
        <v>0</v>
      </c>
      <c r="D50" s="78">
        <f>IF(E39=0,0,F39)</f>
        <v>0</v>
      </c>
      <c r="E50" s="78">
        <f t="shared" si="14"/>
        <v>0</v>
      </c>
      <c r="F50" s="78">
        <f>D50</f>
        <v>0</v>
      </c>
      <c r="G50" s="78">
        <f>IF(B50="Critical", SUM(F50:F51),G49)</f>
        <v>0.91708542713567809</v>
      </c>
      <c r="H50" s="78">
        <f>IF(B50="Critical",(G50*D50)/(1-F50),(G50*D50)/((1-F49)*(1-G50)))</f>
        <v>0</v>
      </c>
      <c r="I50" s="78">
        <f>D50+H50</f>
        <v>0</v>
      </c>
    </row>
    <row r="51" spans="1:9" x14ac:dyDescent="0.25">
      <c r="A51" s="19"/>
      <c r="B51" s="14" t="s">
        <v>20</v>
      </c>
      <c r="C51" s="128">
        <f t="shared" si="13"/>
        <v>5388.333333333343</v>
      </c>
      <c r="D51" s="78">
        <f>IF(E40=0,0,F40)</f>
        <v>0.91708542713567809</v>
      </c>
      <c r="E51" s="78">
        <f t="shared" si="14"/>
        <v>13.5385259631491</v>
      </c>
      <c r="F51" s="78">
        <f>D51</f>
        <v>0.91708542713567809</v>
      </c>
      <c r="G51" s="78">
        <f>IF(B51="Critical", SUM(D52:D52),G50)</f>
        <v>0.91708542713567809</v>
      </c>
      <c r="H51" s="78">
        <f>IF(B51="Critical",(G51*D51)/(1-F51),(G51*D51)/((1-F50)*(1-G51)))</f>
        <v>10.143520633470338</v>
      </c>
      <c r="I51" s="78">
        <f>D51+H51</f>
        <v>11.060606060606016</v>
      </c>
    </row>
  </sheetData>
  <mergeCells count="6">
    <mergeCell ref="A42:H42"/>
    <mergeCell ref="A1:H1"/>
    <mergeCell ref="A8:F8"/>
    <mergeCell ref="J1:L1"/>
    <mergeCell ref="A19:I19"/>
    <mergeCell ref="A31:J3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C031-CF9F-4FF0-84C8-D599C28742F7}">
  <dimension ref="A1:O4"/>
  <sheetViews>
    <sheetView workbookViewId="0">
      <selection activeCell="G4" sqref="G4"/>
    </sheetView>
  </sheetViews>
  <sheetFormatPr defaultRowHeight="15" x14ac:dyDescent="0.25"/>
  <cols>
    <col min="2" max="2" width="19.28515625" customWidth="1"/>
    <col min="3" max="3" width="14.42578125" customWidth="1"/>
    <col min="4" max="4" width="19.85546875" customWidth="1"/>
    <col min="5" max="5" width="12.85546875" customWidth="1"/>
    <col min="6" max="6" width="14.28515625" customWidth="1"/>
    <col min="7" max="7" width="15.140625" customWidth="1"/>
    <col min="8" max="8" width="17.5703125" customWidth="1"/>
    <col min="9" max="9" width="18.42578125" customWidth="1"/>
    <col min="10" max="11" width="17.28515625" customWidth="1"/>
    <col min="12" max="12" width="18.28515625" customWidth="1"/>
    <col min="13" max="13" width="18.140625" customWidth="1"/>
  </cols>
  <sheetData>
    <row r="1" spans="1:15" x14ac:dyDescent="0.25">
      <c r="A1" s="129" t="s">
        <v>222</v>
      </c>
    </row>
    <row r="2" spans="1:15" x14ac:dyDescent="0.25">
      <c r="A2" s="132" t="s">
        <v>71</v>
      </c>
      <c r="B2" s="133" t="s">
        <v>223</v>
      </c>
      <c r="C2" s="132" t="s">
        <v>224</v>
      </c>
      <c r="D2" s="132" t="s">
        <v>225</v>
      </c>
      <c r="E2" s="135" t="s">
        <v>226</v>
      </c>
      <c r="F2" s="135" t="s">
        <v>46</v>
      </c>
      <c r="G2" s="135" t="s">
        <v>216</v>
      </c>
      <c r="H2" s="135" t="s">
        <v>217</v>
      </c>
      <c r="I2" s="132" t="s">
        <v>218</v>
      </c>
      <c r="J2" s="137" t="s">
        <v>219</v>
      </c>
      <c r="K2" s="137" t="s">
        <v>227</v>
      </c>
      <c r="L2" s="132" t="s">
        <v>48</v>
      </c>
      <c r="M2" s="132" t="s">
        <v>49</v>
      </c>
      <c r="N2" s="132" t="s">
        <v>50</v>
      </c>
      <c r="O2" s="132" t="s">
        <v>51</v>
      </c>
    </row>
    <row r="3" spans="1:15" x14ac:dyDescent="0.25">
      <c r="A3" s="10">
        <v>1</v>
      </c>
      <c r="B3" s="23">
        <v>5.2054794520548002E-2</v>
      </c>
      <c r="C3" s="23">
        <v>0.17543859649122806</v>
      </c>
      <c r="D3" s="134">
        <f>B3*(1-C3)</f>
        <v>4.2922374429223795E-2</v>
      </c>
      <c r="E3" s="131">
        <v>22.4118721461187</v>
      </c>
      <c r="F3" s="136">
        <f>1/E3</f>
        <v>4.4619208671203336E-2</v>
      </c>
      <c r="G3" s="141">
        <f>D3*F3</f>
        <v>1.9151623813210587E-3</v>
      </c>
      <c r="H3" s="141"/>
      <c r="I3" s="140">
        <f>F$3*D3</f>
        <v>1.9151623813210587E-3</v>
      </c>
      <c r="J3" s="138">
        <f>SUM(I3:I4)</f>
        <v>1.3854773644105816</v>
      </c>
      <c r="K3" s="138">
        <f>IF(J3&gt;=1, 0.95,J3)</f>
        <v>0.95</v>
      </c>
      <c r="L3" s="140">
        <f>IF(A3=1,(F$3*K$3)/(1-I3),(F$3*K$3)/((1-I2)*(1-K$3)))</f>
        <v>4.2469584388013432E-2</v>
      </c>
      <c r="M3" s="140">
        <f>L3+F$3</f>
        <v>8.7088793059216768E-2</v>
      </c>
      <c r="N3" s="140">
        <f>L3*D3</f>
        <v>1.8228954029558299E-3</v>
      </c>
      <c r="O3" s="140">
        <f>M3*D3</f>
        <v>3.7380577842768886E-3</v>
      </c>
    </row>
    <row r="4" spans="1:15" x14ac:dyDescent="0.25">
      <c r="A4" s="14">
        <v>2</v>
      </c>
      <c r="B4" s="15">
        <v>37.6803652968037</v>
      </c>
      <c r="C4" s="23">
        <v>0.17707222491517208</v>
      </c>
      <c r="D4" s="134">
        <f>B4*(1-C4)</f>
        <v>31.008219178082232</v>
      </c>
      <c r="E4" s="130"/>
      <c r="F4" s="136"/>
      <c r="G4" s="141"/>
      <c r="H4" s="141"/>
      <c r="I4" s="140">
        <f>F$3*D4</f>
        <v>1.3835622020292604</v>
      </c>
      <c r="J4" s="139"/>
      <c r="K4" s="139"/>
      <c r="L4" s="140">
        <f>IF(A4=1,(F$3*K$3)/(1-I4),(F$3*K$3)/((1-I3)*(1-K$3)))</f>
        <v>0.84939168776026774</v>
      </c>
      <c r="M4" s="140">
        <f>L4+F$3</f>
        <v>0.89401089643147102</v>
      </c>
      <c r="N4" s="140">
        <f>L4*D4</f>
        <v>26.338123622111571</v>
      </c>
      <c r="O4" s="140">
        <f>M4*D4</f>
        <v>27.721685824140827</v>
      </c>
    </row>
  </sheetData>
  <mergeCells count="4">
    <mergeCell ref="E3:E4"/>
    <mergeCell ref="F3:F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U11" sqref="U11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5" max="15" width="12.7109375" customWidth="1"/>
    <col min="19" max="19" width="13.85546875" customWidth="1"/>
    <col min="20" max="20" width="11.42578125" customWidth="1"/>
  </cols>
  <sheetData>
    <row r="1" spans="1:16" x14ac:dyDescent="0.25">
      <c r="A1" s="119" t="s">
        <v>65</v>
      </c>
      <c r="B1" s="119"/>
      <c r="C1" s="119"/>
      <c r="D1" s="119"/>
      <c r="E1" s="119"/>
      <c r="F1" s="2"/>
      <c r="G1" s="119" t="s">
        <v>66</v>
      </c>
      <c r="H1" s="119"/>
      <c r="I1" s="119"/>
      <c r="J1" s="119"/>
      <c r="K1" s="119"/>
      <c r="L1" s="119"/>
      <c r="M1" s="119"/>
    </row>
    <row r="2" spans="1:16" x14ac:dyDescent="0.25">
      <c r="A2" s="2" t="s">
        <v>67</v>
      </c>
      <c r="B2" s="111" t="s">
        <v>68</v>
      </c>
      <c r="C2" s="111"/>
      <c r="D2" s="2" t="s">
        <v>69</v>
      </c>
      <c r="E2" s="2" t="s">
        <v>70</v>
      </c>
      <c r="F2" s="2"/>
      <c r="G2" s="2" t="s">
        <v>67</v>
      </c>
      <c r="H2" s="111" t="s">
        <v>68</v>
      </c>
      <c r="I2" s="111"/>
      <c r="J2" s="111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08" t="s">
        <v>73</v>
      </c>
      <c r="C3" s="108"/>
      <c r="D3">
        <f>Dati_OPTN!C30/(Dati_OPTN!C7+Dati_OPTN!P53)</f>
        <v>8.0261280876942717E-2</v>
      </c>
      <c r="E3">
        <f>D3+0.02</f>
        <v>0.10026128087694272</v>
      </c>
      <c r="G3" t="s">
        <v>23</v>
      </c>
      <c r="H3" s="108" t="s">
        <v>74</v>
      </c>
      <c r="I3" s="108"/>
      <c r="J3" s="108"/>
      <c r="K3">
        <f>Dati_OPTN!P53/(Dati_OPTN!C30+Dati_OPTN!C7)</f>
        <v>0.28029898558462357</v>
      </c>
      <c r="L3">
        <v>0.25</v>
      </c>
      <c r="M3">
        <f>K3+L3</f>
        <v>0.53029898558462363</v>
      </c>
    </row>
    <row r="4" spans="1:16" x14ac:dyDescent="0.25">
      <c r="A4" t="s">
        <v>24</v>
      </c>
      <c r="B4" s="108" t="s">
        <v>73</v>
      </c>
      <c r="C4" s="108"/>
      <c r="D4">
        <f>Dati_OPTN!C34/(Dati_OPTN!C11+Dati_OPTN!P57)</f>
        <v>6.2625073572689816E-2</v>
      </c>
      <c r="E4">
        <f>D4+0.02</f>
        <v>8.2625073572689819E-2</v>
      </c>
      <c r="G4" t="s">
        <v>24</v>
      </c>
      <c r="H4" s="108" t="s">
        <v>74</v>
      </c>
      <c r="I4" s="108"/>
      <c r="J4" s="108"/>
      <c r="K4">
        <f>Dati_OPTN!P57/(Dati_OPTN!C34+Dati_OPTN!C11)</f>
        <v>0.24355971896955503</v>
      </c>
      <c r="L4">
        <v>0.32</v>
      </c>
      <c r="M4">
        <f>K4+L4</f>
        <v>0.56355971896955503</v>
      </c>
    </row>
    <row r="5" spans="1:16" x14ac:dyDescent="0.25">
      <c r="A5" t="s">
        <v>25</v>
      </c>
      <c r="B5" s="108" t="s">
        <v>73</v>
      </c>
      <c r="C5" s="108"/>
      <c r="D5">
        <f>Dati_OPTN!C38/(Dati_OPTN!C15+Dati_OPTN!P61)</f>
        <v>8.0256031511570652E-2</v>
      </c>
      <c r="E5">
        <f>D5+0.02</f>
        <v>0.10025603151157066</v>
      </c>
      <c r="G5" t="s">
        <v>25</v>
      </c>
      <c r="H5" s="108" t="s">
        <v>74</v>
      </c>
      <c r="I5" s="108"/>
      <c r="J5" s="108"/>
      <c r="K5">
        <f>Dati_OPTN!P61/(Dati_OPTN!C38+Dati_OPTN!C15)</f>
        <v>0.29058823529411765</v>
      </c>
      <c r="L5">
        <v>0.38</v>
      </c>
      <c r="M5">
        <f>K5+L5</f>
        <v>0.67058823529411771</v>
      </c>
    </row>
    <row r="6" spans="1:16" x14ac:dyDescent="0.25">
      <c r="A6" t="s">
        <v>26</v>
      </c>
      <c r="B6" s="108" t="s">
        <v>73</v>
      </c>
      <c r="C6" s="108"/>
      <c r="D6">
        <f>Dati_OPTN!C42/(Dati_OPTN!C19+Dati_OPTN!P65)</f>
        <v>5.2356020942408377E-2</v>
      </c>
      <c r="E6">
        <f>D6+0.02</f>
        <v>7.2356020942408381E-2</v>
      </c>
      <c r="G6" t="s">
        <v>26</v>
      </c>
      <c r="H6" s="108" t="s">
        <v>74</v>
      </c>
      <c r="I6" s="108"/>
      <c r="J6" s="108"/>
      <c r="K6">
        <f>Dati_OPTN!P65/(Dati_OPTN!C42+Dati_OPTN!C19)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17" t="s">
        <v>75</v>
      </c>
      <c r="B9" s="117"/>
      <c r="C9" s="117"/>
      <c r="D9" s="117"/>
      <c r="E9" s="117"/>
      <c r="F9" s="117"/>
      <c r="G9" s="117"/>
      <c r="I9" s="117" t="s">
        <v>76</v>
      </c>
      <c r="J9" s="117"/>
      <c r="K9" s="117"/>
      <c r="L9" s="117"/>
      <c r="M9" s="117"/>
      <c r="N9" s="117"/>
      <c r="O9" s="117"/>
      <c r="P9" s="117"/>
    </row>
    <row r="10" spans="1:16" x14ac:dyDescent="0.25">
      <c r="A10" t="s">
        <v>23</v>
      </c>
      <c r="B10" t="s">
        <v>77</v>
      </c>
      <c r="C10" s="108" t="s">
        <v>78</v>
      </c>
      <c r="D10" s="108"/>
      <c r="E10" s="108"/>
      <c r="F10" s="108"/>
      <c r="G10">
        <f>Dati_OPTN!C8/365*(1-M3-E3)</f>
        <v>1.9231109417069146E-2</v>
      </c>
      <c r="I10" t="s">
        <v>23</v>
      </c>
      <c r="J10" s="118" t="s">
        <v>77</v>
      </c>
      <c r="K10" s="118"/>
      <c r="L10" s="108" t="s">
        <v>79</v>
      </c>
      <c r="M10" s="108"/>
      <c r="N10" s="108"/>
      <c r="O10" s="108"/>
      <c r="P10">
        <f>G10</f>
        <v>1.9231109417069146E-2</v>
      </c>
    </row>
    <row r="11" spans="1:16" x14ac:dyDescent="0.25">
      <c r="B11" t="s">
        <v>80</v>
      </c>
      <c r="C11" s="108" t="s">
        <v>81</v>
      </c>
      <c r="D11" s="108"/>
      <c r="E11" s="108"/>
      <c r="F11" s="108"/>
      <c r="G11">
        <f>Dati_OPTN!C9/365*(1-M3-E3)</f>
        <v>15.56910131859777</v>
      </c>
      <c r="J11" s="118" t="s">
        <v>80</v>
      </c>
      <c r="K11" s="118"/>
      <c r="L11" s="108" t="s">
        <v>82</v>
      </c>
      <c r="M11" s="108"/>
      <c r="N11" s="108"/>
      <c r="O11" s="108"/>
      <c r="P11">
        <f>G11+G19</f>
        <v>20.566153276075159</v>
      </c>
    </row>
    <row r="12" spans="1:16" x14ac:dyDescent="0.25">
      <c r="A12" t="s">
        <v>24</v>
      </c>
      <c r="B12" t="s">
        <v>77</v>
      </c>
      <c r="C12" s="108" t="s">
        <v>83</v>
      </c>
      <c r="D12" s="108"/>
      <c r="E12" s="108"/>
      <c r="F12" s="108"/>
      <c r="G12">
        <f>Dati_OPTN!C12/365*(1-M4-E4)</f>
        <v>9.6935673276097294E-3</v>
      </c>
      <c r="I12" t="s">
        <v>24</v>
      </c>
      <c r="J12" s="118" t="s">
        <v>77</v>
      </c>
      <c r="K12" s="118"/>
      <c r="L12" s="108" t="s">
        <v>84</v>
      </c>
      <c r="M12" s="108"/>
      <c r="N12" s="108"/>
      <c r="O12" s="108"/>
      <c r="P12">
        <f>G12</f>
        <v>9.6935673276097294E-3</v>
      </c>
    </row>
    <row r="13" spans="1:16" x14ac:dyDescent="0.25">
      <c r="B13" t="s">
        <v>80</v>
      </c>
      <c r="C13" s="108" t="s">
        <v>85</v>
      </c>
      <c r="D13" s="108"/>
      <c r="E13" s="108"/>
      <c r="F13" s="108"/>
      <c r="G13">
        <f>Dati_OPTN!C13/365*(1-M4-E4)</f>
        <v>9.6111720053250469</v>
      </c>
      <c r="J13" s="118" t="s">
        <v>80</v>
      </c>
      <c r="K13" s="118"/>
      <c r="L13" s="108" t="s">
        <v>86</v>
      </c>
      <c r="M13" s="108"/>
      <c r="N13" s="108"/>
      <c r="O13" s="108"/>
      <c r="P13">
        <f>G13+G20</f>
        <v>13.03203191523852</v>
      </c>
    </row>
    <row r="14" spans="1:16" x14ac:dyDescent="0.25">
      <c r="A14" t="s">
        <v>25</v>
      </c>
      <c r="B14" t="s">
        <v>77</v>
      </c>
      <c r="C14" s="108" t="s">
        <v>87</v>
      </c>
      <c r="D14" s="108"/>
      <c r="E14" s="108"/>
      <c r="F14" s="108"/>
      <c r="G14">
        <f>Dati_OPTN!C16/365*(1-M5-E5)</f>
        <v>6.2782392655975792E-3</v>
      </c>
      <c r="I14" t="s">
        <v>25</v>
      </c>
      <c r="J14" s="118" t="s">
        <v>77</v>
      </c>
      <c r="K14" s="118"/>
      <c r="L14" s="108" t="s">
        <v>88</v>
      </c>
      <c r="M14" s="108"/>
      <c r="N14" s="108"/>
      <c r="O14" s="108"/>
      <c r="P14">
        <f>G14</f>
        <v>6.2782392655975792E-3</v>
      </c>
    </row>
    <row r="15" spans="1:16" x14ac:dyDescent="0.25">
      <c r="B15" t="s">
        <v>80</v>
      </c>
      <c r="C15" s="108" t="s">
        <v>89</v>
      </c>
      <c r="D15" s="108"/>
      <c r="E15" s="108"/>
      <c r="F15" s="108"/>
      <c r="G15">
        <f>Dati_OPTN!C17/365*(1-M5-E5)</f>
        <v>2.9438663916387049</v>
      </c>
      <c r="J15" s="118" t="s">
        <v>80</v>
      </c>
      <c r="K15" s="118"/>
      <c r="L15" s="108" t="s">
        <v>90</v>
      </c>
      <c r="M15" s="108"/>
      <c r="N15" s="108"/>
      <c r="O15" s="108"/>
      <c r="P15">
        <f>G15+G21</f>
        <v>3.8535832612237941</v>
      </c>
    </row>
    <row r="16" spans="1:16" x14ac:dyDescent="0.25">
      <c r="A16" t="s">
        <v>26</v>
      </c>
      <c r="B16" t="s">
        <v>91</v>
      </c>
      <c r="C16" s="108" t="s">
        <v>92</v>
      </c>
      <c r="D16" s="108"/>
      <c r="E16" s="108"/>
      <c r="F16" s="108"/>
      <c r="G16">
        <f>Dati_OPTN!C20/365*(1-M6-E6)</f>
        <v>1.3134285843629813E-3</v>
      </c>
      <c r="I16" t="s">
        <v>26</v>
      </c>
      <c r="J16" s="118" t="s">
        <v>91</v>
      </c>
      <c r="K16" s="118"/>
      <c r="L16" s="108" t="s">
        <v>93</v>
      </c>
      <c r="M16" s="108"/>
      <c r="N16" s="108"/>
      <c r="O16" s="108"/>
      <c r="P16">
        <f>G16</f>
        <v>1.3134285843629813E-3</v>
      </c>
    </row>
    <row r="17" spans="1:29" x14ac:dyDescent="0.25">
      <c r="B17" t="s">
        <v>80</v>
      </c>
      <c r="C17" s="108" t="s">
        <v>94</v>
      </c>
      <c r="D17" s="108"/>
      <c r="E17" s="108"/>
      <c r="F17" s="108"/>
      <c r="G17">
        <f>Dati_OPTN!C21/365*(1-M6-E6)</f>
        <v>0.76178857893052909</v>
      </c>
      <c r="J17" s="118" t="s">
        <v>80</v>
      </c>
      <c r="K17" s="118"/>
      <c r="L17" s="108" t="s">
        <v>95</v>
      </c>
      <c r="M17" s="108"/>
      <c r="N17" s="108"/>
      <c r="O17" s="108"/>
      <c r="P17">
        <f>G17+G22</f>
        <v>1.0441757245685701</v>
      </c>
    </row>
    <row r="18" spans="1:29" x14ac:dyDescent="0.25">
      <c r="A18" s="117" t="s">
        <v>96</v>
      </c>
      <c r="B18" s="117"/>
      <c r="C18" s="117"/>
      <c r="D18" s="117"/>
      <c r="E18" s="117"/>
      <c r="F18" s="117"/>
      <c r="G18" s="117"/>
      <c r="I18" s="117" t="s">
        <v>97</v>
      </c>
      <c r="J18" s="117"/>
      <c r="K18" s="117"/>
      <c r="L18" s="117"/>
      <c r="M18" s="117"/>
      <c r="N18" s="117"/>
      <c r="O18" s="117"/>
      <c r="P18" s="117"/>
      <c r="Q18" s="117"/>
      <c r="S18" s="2"/>
      <c r="T18" s="2"/>
    </row>
    <row r="19" spans="1:29" x14ac:dyDescent="0.25">
      <c r="A19" t="s">
        <v>23</v>
      </c>
      <c r="B19" t="s">
        <v>98</v>
      </c>
      <c r="C19" s="108" t="s">
        <v>99</v>
      </c>
      <c r="D19" s="108"/>
      <c r="E19" s="108"/>
      <c r="F19" s="108"/>
      <c r="G19">
        <f>Dati_OPTN!C10/365*(1-M3-E3)</f>
        <v>4.997051957477388</v>
      </c>
      <c r="I19" t="s">
        <v>23</v>
      </c>
      <c r="J19" s="108" t="s">
        <v>100</v>
      </c>
      <c r="K19" s="108"/>
      <c r="L19" s="108"/>
      <c r="M19" s="108"/>
      <c r="N19" s="108"/>
      <c r="O19" s="108"/>
      <c r="P19" s="108"/>
      <c r="Q19">
        <f>G10+G11+G19</f>
        <v>20.585384385492226</v>
      </c>
    </row>
    <row r="20" spans="1:29" x14ac:dyDescent="0.25">
      <c r="A20" t="s">
        <v>24</v>
      </c>
      <c r="B20" t="s">
        <v>98</v>
      </c>
      <c r="C20" s="108" t="s">
        <v>101</v>
      </c>
      <c r="D20" s="108"/>
      <c r="E20" s="108"/>
      <c r="F20" s="108"/>
      <c r="G20">
        <f>Dati_OPTN!C14/365*(1-M4-E4)</f>
        <v>3.4208599099134736</v>
      </c>
      <c r="I20" t="s">
        <v>24</v>
      </c>
      <c r="J20" s="108" t="s">
        <v>102</v>
      </c>
      <c r="K20" s="108"/>
      <c r="L20" s="108"/>
      <c r="M20" s="108"/>
      <c r="N20" s="108"/>
      <c r="O20" s="108"/>
      <c r="P20" s="108"/>
      <c r="Q20">
        <f>G12+G13+G20</f>
        <v>13.041725482566129</v>
      </c>
    </row>
    <row r="21" spans="1:29" x14ac:dyDescent="0.25">
      <c r="A21" t="s">
        <v>25</v>
      </c>
      <c r="B21" t="s">
        <v>98</v>
      </c>
      <c r="C21" s="108" t="s">
        <v>103</v>
      </c>
      <c r="D21" s="108"/>
      <c r="E21" s="108"/>
      <c r="F21" s="108"/>
      <c r="G21">
        <f>Dati_OPTN!C18/365*(1-M5-E5)</f>
        <v>0.90971686958508924</v>
      </c>
      <c r="I21" t="s">
        <v>25</v>
      </c>
      <c r="J21" s="108" t="s">
        <v>104</v>
      </c>
      <c r="K21" s="108"/>
      <c r="L21" s="108"/>
      <c r="M21" s="108"/>
      <c r="N21" s="108"/>
      <c r="O21" s="108"/>
      <c r="P21" s="108"/>
      <c r="Q21">
        <f>G14+G15+G21</f>
        <v>3.8598615004893917</v>
      </c>
    </row>
    <row r="22" spans="1:29" x14ac:dyDescent="0.25">
      <c r="A22" t="s">
        <v>26</v>
      </c>
      <c r="B22" t="s">
        <v>98</v>
      </c>
      <c r="C22" s="108" t="s">
        <v>105</v>
      </c>
      <c r="D22" s="108"/>
      <c r="E22" s="108"/>
      <c r="F22" s="108"/>
      <c r="G22">
        <f>Dati_OPTN!C22/365*(1-M6-E6)</f>
        <v>0.28238714563804101</v>
      </c>
      <c r="I22" t="s">
        <v>26</v>
      </c>
      <c r="J22" s="108" t="s">
        <v>106</v>
      </c>
      <c r="K22" s="108"/>
      <c r="L22" s="108"/>
      <c r="M22" s="108"/>
      <c r="N22" s="108"/>
      <c r="O22" s="108"/>
      <c r="P22" s="108"/>
      <c r="Q22">
        <f>G16+G17+G22</f>
        <v>1.0454891531529331</v>
      </c>
    </row>
    <row r="25" spans="1:29" x14ac:dyDescent="0.25">
      <c r="A25" s="114" t="s">
        <v>107</v>
      </c>
      <c r="B25" s="114"/>
      <c r="C25" s="114"/>
      <c r="D25" s="114"/>
      <c r="E25" s="114"/>
      <c r="F25" s="114"/>
      <c r="I25" s="114" t="s">
        <v>108</v>
      </c>
      <c r="J25" s="114"/>
      <c r="K25" s="114"/>
      <c r="L25" s="114"/>
      <c r="M25" s="114"/>
      <c r="N25" s="114"/>
      <c r="Q25" s="114" t="s">
        <v>109</v>
      </c>
      <c r="R25" s="114"/>
      <c r="S25" s="114"/>
      <c r="T25" s="114"/>
      <c r="U25" s="114"/>
      <c r="V25" s="114"/>
      <c r="Y25" s="114" t="s">
        <v>110</v>
      </c>
      <c r="Z25" s="114"/>
      <c r="AA25" s="114"/>
      <c r="AB25" s="114"/>
      <c r="AC25" s="114"/>
    </row>
    <row r="26" spans="1:29" x14ac:dyDescent="0.25">
      <c r="A26" s="2" t="s">
        <v>67</v>
      </c>
      <c r="B26" s="111" t="s">
        <v>68</v>
      </c>
      <c r="C26" s="111"/>
      <c r="D26" s="111"/>
      <c r="E26" s="2" t="s">
        <v>71</v>
      </c>
      <c r="F26" s="2" t="s">
        <v>111</v>
      </c>
      <c r="I26" s="2" t="s">
        <v>67</v>
      </c>
      <c r="J26" s="111" t="s">
        <v>68</v>
      </c>
      <c r="K26" s="111"/>
      <c r="L26" s="111"/>
      <c r="M26" s="111"/>
      <c r="N26" s="2" t="s">
        <v>112</v>
      </c>
      <c r="Q26" s="2" t="s">
        <v>67</v>
      </c>
      <c r="R26" s="111" t="s">
        <v>68</v>
      </c>
      <c r="S26" s="111"/>
      <c r="T26" s="111"/>
      <c r="U26" s="111"/>
      <c r="V26" s="2" t="s">
        <v>113</v>
      </c>
      <c r="Y26" s="2" t="s">
        <v>67</v>
      </c>
      <c r="Z26" s="111" t="s">
        <v>68</v>
      </c>
      <c r="AA26" s="111"/>
      <c r="AB26" s="2" t="s">
        <v>46</v>
      </c>
      <c r="AC26" s="2" t="s">
        <v>114</v>
      </c>
    </row>
    <row r="27" spans="1:29" x14ac:dyDescent="0.25">
      <c r="A27" t="s">
        <v>23</v>
      </c>
      <c r="B27" s="108" t="s">
        <v>115</v>
      </c>
      <c r="C27" s="108"/>
      <c r="D27" s="108"/>
      <c r="E27">
        <f>Arrivi!D31/Arrivi!D29</f>
        <v>0.45980196406014429</v>
      </c>
      <c r="F27">
        <f>1-E27</f>
        <v>0.54019803593985571</v>
      </c>
      <c r="I27" t="s">
        <v>23</v>
      </c>
      <c r="J27" s="108" t="s">
        <v>116</v>
      </c>
      <c r="K27" s="108"/>
      <c r="L27" s="108"/>
      <c r="M27" s="108"/>
      <c r="N27">
        <f>1/(2*E27*Arrivi!H31)</f>
        <v>9.2240298702594314E-2</v>
      </c>
      <c r="Q27" t="s">
        <v>23</v>
      </c>
      <c r="R27" s="108" t="s">
        <v>117</v>
      </c>
      <c r="S27" s="108"/>
      <c r="T27" s="108"/>
      <c r="U27" s="108"/>
      <c r="V27">
        <f>1/(2*F27*Arrivi!H30)</f>
        <v>6.3479719307352522E-2</v>
      </c>
      <c r="Y27" t="s">
        <v>23</v>
      </c>
      <c r="Z27" s="108" t="s">
        <v>118</v>
      </c>
      <c r="AA27" s="108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08" t="s">
        <v>119</v>
      </c>
      <c r="C28" s="108"/>
      <c r="D28" s="108"/>
      <c r="E28">
        <f>Arrivi!D34/Arrivi!D32</f>
        <v>0.32570024570024569</v>
      </c>
      <c r="F28">
        <f>1-E28</f>
        <v>0.67429975429975431</v>
      </c>
      <c r="I28" t="s">
        <v>24</v>
      </c>
      <c r="J28" s="108" t="s">
        <v>120</v>
      </c>
      <c r="K28" s="108"/>
      <c r="L28" s="108"/>
      <c r="M28" s="108"/>
      <c r="N28">
        <f>1/(2*E28*Arrivi!H34)</f>
        <v>0.29662846521470904</v>
      </c>
      <c r="Q28" t="s">
        <v>24</v>
      </c>
      <c r="R28" s="108" t="s">
        <v>121</v>
      </c>
      <c r="S28" s="108"/>
      <c r="T28" s="108"/>
      <c r="U28" s="108"/>
      <c r="V28">
        <f>1/(2*F28*Arrivi!H33)</f>
        <v>6.5580601925874338E-2</v>
      </c>
      <c r="Y28" t="s">
        <v>24</v>
      </c>
      <c r="Z28" s="108" t="s">
        <v>118</v>
      </c>
      <c r="AA28" s="108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08" t="s">
        <v>122</v>
      </c>
      <c r="C29" s="108"/>
      <c r="D29" s="108"/>
      <c r="E29">
        <f>Arrivi!D37/Arrivi!D35</f>
        <v>0.3090813093980993</v>
      </c>
      <c r="F29">
        <f>1-E29</f>
        <v>0.6909186906019007</v>
      </c>
      <c r="I29" t="s">
        <v>25</v>
      </c>
      <c r="J29" s="108" t="s">
        <v>123</v>
      </c>
      <c r="K29" s="108"/>
      <c r="L29" s="108"/>
      <c r="M29" s="108"/>
      <c r="N29">
        <f>1/(2*E29*Arrivi!H37)</f>
        <v>1.0506397061594894</v>
      </c>
      <c r="Q29" t="s">
        <v>25</v>
      </c>
      <c r="R29" s="108" t="s">
        <v>124</v>
      </c>
      <c r="S29" s="108"/>
      <c r="T29" s="108"/>
      <c r="U29" s="108"/>
      <c r="V29">
        <f>1/(2*F29*Arrivi!H36)</f>
        <v>0.20117369900147355</v>
      </c>
      <c r="Y29" t="s">
        <v>25</v>
      </c>
      <c r="Z29" s="108" t="s">
        <v>118</v>
      </c>
      <c r="AA29" s="108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08" t="s">
        <v>125</v>
      </c>
      <c r="C30" s="108"/>
      <c r="D30" s="108"/>
      <c r="E30">
        <f>Arrivi!D40/Arrivi!D38</f>
        <v>0.20058626465661641</v>
      </c>
      <c r="F30">
        <f>1-E30</f>
        <v>0.79941373534338356</v>
      </c>
      <c r="I30" t="s">
        <v>26</v>
      </c>
      <c r="J30" s="108" t="s">
        <v>126</v>
      </c>
      <c r="K30" s="108"/>
      <c r="L30" s="108"/>
      <c r="M30" s="108"/>
      <c r="N30">
        <f>1/(2*E30*Arrivi!H40)</f>
        <v>8.1235087980912617</v>
      </c>
      <c r="Q30" t="s">
        <v>26</v>
      </c>
      <c r="R30" s="108" t="s">
        <v>127</v>
      </c>
      <c r="S30" s="108"/>
      <c r="T30" s="108"/>
      <c r="U30" s="108"/>
      <c r="V30">
        <f>1/(2*F30*Arrivi!H39)</f>
        <v>0.58536487085465616</v>
      </c>
      <c r="Y30" t="s">
        <v>26</v>
      </c>
      <c r="Z30" s="108" t="s">
        <v>118</v>
      </c>
      <c r="AA30" s="108"/>
      <c r="AB30">
        <f>E30*N30+F30*V30</f>
        <v>2.0974130036630036</v>
      </c>
      <c r="AC30">
        <f>1/AB30</f>
        <v>0.47677782022594556</v>
      </c>
    </row>
    <row r="33" spans="1:9" x14ac:dyDescent="0.25">
      <c r="A33" s="113" t="s">
        <v>128</v>
      </c>
      <c r="B33" s="113"/>
      <c r="C33" s="113"/>
      <c r="D33" s="113"/>
      <c r="F33" s="116" t="s">
        <v>129</v>
      </c>
      <c r="G33" s="116"/>
      <c r="H33" s="116"/>
      <c r="I33" s="116"/>
    </row>
    <row r="34" spans="1:9" x14ac:dyDescent="0.25">
      <c r="A34" t="s">
        <v>23</v>
      </c>
      <c r="B34" s="112" t="s">
        <v>130</v>
      </c>
      <c r="C34" s="112"/>
      <c r="D34">
        <f>Q19*AB27</f>
        <v>1.5789790636459025</v>
      </c>
      <c r="F34" t="s">
        <v>23</v>
      </c>
      <c r="G34" s="108" t="s">
        <v>131</v>
      </c>
      <c r="H34" s="108"/>
      <c r="I34">
        <f>1/(2*E27*F27)-1</f>
        <v>1.0130111547150507</v>
      </c>
    </row>
    <row r="35" spans="1:9" x14ac:dyDescent="0.25">
      <c r="A35" t="s">
        <v>24</v>
      </c>
      <c r="B35" s="112" t="s">
        <v>132</v>
      </c>
      <c r="C35" s="112"/>
      <c r="D35">
        <f>Q20*AB28</f>
        <v>1.8367046436851515</v>
      </c>
      <c r="F35" t="s">
        <v>24</v>
      </c>
      <c r="G35" s="108" t="s">
        <v>131</v>
      </c>
      <c r="H35" s="108"/>
      <c r="I35">
        <f>1/(2*E28*F28)-1</f>
        <v>1.2766638765442981</v>
      </c>
    </row>
    <row r="36" spans="1:9" x14ac:dyDescent="0.25">
      <c r="A36" t="s">
        <v>25</v>
      </c>
      <c r="B36" s="112" t="s">
        <v>133</v>
      </c>
      <c r="C36" s="112"/>
      <c r="D36">
        <f>Q21*AB29</f>
        <v>1.7899249459940887</v>
      </c>
      <c r="F36" t="s">
        <v>25</v>
      </c>
      <c r="G36" s="108" t="s">
        <v>131</v>
      </c>
      <c r="H36" s="108"/>
      <c r="I36">
        <f>1/(2*E29*F29)-1</f>
        <v>1.3413714565768982</v>
      </c>
    </row>
    <row r="37" spans="1:9" x14ac:dyDescent="0.25">
      <c r="A37" t="s">
        <v>26</v>
      </c>
      <c r="B37" s="112" t="s">
        <v>134</v>
      </c>
      <c r="C37" s="112"/>
      <c r="D37">
        <f>Q22*AB30</f>
        <v>2.1928225450115835</v>
      </c>
      <c r="F37" t="s">
        <v>26</v>
      </c>
      <c r="G37" s="108" t="s">
        <v>131</v>
      </c>
      <c r="H37" s="108"/>
      <c r="I37">
        <f>1/(2*E30*F30)-1</f>
        <v>2.1181514658069514</v>
      </c>
    </row>
    <row r="40" spans="1:9" x14ac:dyDescent="0.25">
      <c r="A40" s="113" t="s">
        <v>135</v>
      </c>
      <c r="B40" s="113"/>
      <c r="C40" s="113"/>
      <c r="D40" s="113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9.3421182023797813E-4</v>
      </c>
      <c r="D42">
        <f>C42*D34</f>
        <v>1.4751009051662968E-3</v>
      </c>
    </row>
    <row r="43" spans="1:9" x14ac:dyDescent="0.25">
      <c r="B43" t="s">
        <v>140</v>
      </c>
      <c r="C43">
        <f>P11/Q19</f>
        <v>0.9990657881797621</v>
      </c>
      <c r="D43">
        <f>C43*D34</f>
        <v>1.5775039627407363</v>
      </c>
    </row>
    <row r="44" spans="1:9" x14ac:dyDescent="0.25">
      <c r="A44" t="s">
        <v>24</v>
      </c>
      <c r="B44" t="s">
        <v>139</v>
      </c>
      <c r="C44">
        <f>P12/Q20</f>
        <v>7.4327337594767362E-4</v>
      </c>
      <c r="D44">
        <f>C44*D35</f>
        <v>1.3651736611306315E-3</v>
      </c>
    </row>
    <row r="45" spans="1:9" x14ac:dyDescent="0.25">
      <c r="B45" t="s">
        <v>140</v>
      </c>
      <c r="C45">
        <f>P13/Q20</f>
        <v>0.9992567266240524</v>
      </c>
      <c r="D45">
        <f>C45*D35</f>
        <v>1.8353394700240211</v>
      </c>
    </row>
    <row r="46" spans="1:9" x14ac:dyDescent="0.25">
      <c r="A46" t="s">
        <v>25</v>
      </c>
      <c r="B46" t="s">
        <v>139</v>
      </c>
      <c r="C46">
        <f>P14/Q21</f>
        <v>1.6265452179570592E-3</v>
      </c>
      <c r="D46">
        <f>C46*D36</f>
        <v>2.9113938614087325E-3</v>
      </c>
    </row>
    <row r="47" spans="1:9" x14ac:dyDescent="0.25">
      <c r="B47" t="s">
        <v>140</v>
      </c>
      <c r="C47">
        <f>P15/Q21</f>
        <v>0.99837345478204298</v>
      </c>
      <c r="D47">
        <f>C47*D36</f>
        <v>1.78701355213268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15" t="s">
        <v>141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</row>
    <row r="52" spans="1:20" x14ac:dyDescent="0.25">
      <c r="A52" s="110" t="s">
        <v>142</v>
      </c>
      <c r="B52" s="110"/>
      <c r="C52" s="110"/>
      <c r="D52" s="110"/>
      <c r="E52" s="110"/>
      <c r="F52" s="110"/>
      <c r="I52" s="110" t="s">
        <v>143</v>
      </c>
      <c r="J52" s="110"/>
      <c r="K52" s="110"/>
      <c r="L52" s="110"/>
      <c r="M52" s="110"/>
      <c r="N52" s="110"/>
      <c r="O52" s="110"/>
    </row>
    <row r="53" spans="1:20" x14ac:dyDescent="0.25">
      <c r="A53" s="2" t="s">
        <v>67</v>
      </c>
      <c r="B53" s="2" t="s">
        <v>144</v>
      </c>
      <c r="C53" s="111" t="s">
        <v>68</v>
      </c>
      <c r="D53" s="111"/>
      <c r="E53" s="111"/>
      <c r="F53" s="2" t="s">
        <v>145</v>
      </c>
      <c r="I53" s="2" t="s">
        <v>67</v>
      </c>
      <c r="J53" s="111" t="s">
        <v>144</v>
      </c>
      <c r="K53" s="111"/>
      <c r="L53" s="111" t="s">
        <v>68</v>
      </c>
      <c r="M53" s="111"/>
      <c r="N53" s="111"/>
      <c r="O53" s="2" t="s">
        <v>146</v>
      </c>
    </row>
    <row r="54" spans="1:20" x14ac:dyDescent="0.25">
      <c r="A54" t="s">
        <v>23</v>
      </c>
      <c r="B54" t="s">
        <v>77</v>
      </c>
      <c r="C54" s="108" t="s">
        <v>147</v>
      </c>
      <c r="D54" s="108"/>
      <c r="E54" s="108"/>
      <c r="F54">
        <f>(D34*AB27*(1+I34))/(2*(1-D42))</f>
        <v>0.12208183518672942</v>
      </c>
      <c r="I54" t="s">
        <v>23</v>
      </c>
      <c r="J54" s="108" t="s">
        <v>77</v>
      </c>
      <c r="K54" s="108"/>
      <c r="L54" s="108" t="s">
        <v>148</v>
      </c>
      <c r="M54" s="108"/>
      <c r="N54" s="108"/>
      <c r="O54">
        <f>F54+AB27</f>
        <v>0.19878572538752184</v>
      </c>
    </row>
    <row r="55" spans="1:20" x14ac:dyDescent="0.25">
      <c r="B55" t="s">
        <v>80</v>
      </c>
      <c r="C55" s="108" t="s">
        <v>149</v>
      </c>
      <c r="D55" s="108"/>
      <c r="E55" s="108"/>
      <c r="F55">
        <f>(D34*AB27*(1+I34))/(2*(1-D42)*(1-D34))</f>
        <v>-0.21085708076897478</v>
      </c>
      <c r="J55" s="108" t="s">
        <v>80</v>
      </c>
      <c r="K55" s="108"/>
      <c r="L55" s="108" t="s">
        <v>150</v>
      </c>
      <c r="M55" s="108"/>
      <c r="N55" s="108"/>
      <c r="O55">
        <f>F55+AB27</f>
        <v>-0.13415319056818237</v>
      </c>
      <c r="S55" s="109" t="s">
        <v>151</v>
      </c>
      <c r="T55" s="109"/>
    </row>
    <row r="56" spans="1:20" x14ac:dyDescent="0.25">
      <c r="A56" t="s">
        <v>24</v>
      </c>
      <c r="B56" t="s">
        <v>77</v>
      </c>
      <c r="C56" s="108" t="s">
        <v>147</v>
      </c>
      <c r="D56" s="108"/>
      <c r="E56" s="108"/>
      <c r="F56">
        <f>(D35*AB28*(1+I35))/(2*(1-D44))</f>
        <v>0.29485317394264693</v>
      </c>
      <c r="I56" t="s">
        <v>24</v>
      </c>
      <c r="J56" s="108" t="s">
        <v>77</v>
      </c>
      <c r="K56" s="108"/>
      <c r="L56" s="108" t="s">
        <v>148</v>
      </c>
      <c r="M56" s="108"/>
      <c r="N56" s="108"/>
      <c r="O56">
        <f>F56+AB28</f>
        <v>0.43568612171021148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08" t="s">
        <v>149</v>
      </c>
      <c r="D57" s="108"/>
      <c r="E57" s="108"/>
      <c r="F57">
        <f>(D35*AB28*(1+I35))/(2*(1-D44)*(1-D35))</f>
        <v>-0.3523981564677427</v>
      </c>
      <c r="J57" s="108" t="s">
        <v>80</v>
      </c>
      <c r="K57" s="108"/>
      <c r="L57" s="108" t="s">
        <v>150</v>
      </c>
      <c r="M57" s="108"/>
      <c r="N57" s="108"/>
      <c r="O57">
        <f>F57+AB28</f>
        <v>-0.21156520870017811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08" t="s">
        <v>147</v>
      </c>
      <c r="D58" s="108"/>
      <c r="E58" s="108"/>
      <c r="F58">
        <f>(D36*AB29*(1+I36))/(2*(1-D46))</f>
        <v>0.97455081810634703</v>
      </c>
      <c r="I58" t="s">
        <v>25</v>
      </c>
      <c r="J58" s="108" t="s">
        <v>77</v>
      </c>
      <c r="K58" s="108"/>
      <c r="L58" s="108" t="s">
        <v>148</v>
      </c>
      <c r="M58" s="108"/>
      <c r="N58" s="108"/>
      <c r="O58">
        <f>F58+AB29</f>
        <v>1.4382785828893954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08" t="s">
        <v>149</v>
      </c>
      <c r="D59" s="108"/>
      <c r="E59" s="108"/>
      <c r="F59">
        <f>(D36*AB29*(1+I36))/(2*(1-D46)*(1-D36))</f>
        <v>-1.2337258407251768</v>
      </c>
      <c r="J59" s="108" t="s">
        <v>80</v>
      </c>
      <c r="K59" s="108"/>
      <c r="L59" s="108" t="s">
        <v>150</v>
      </c>
      <c r="M59" s="108"/>
      <c r="N59" s="108"/>
      <c r="O59">
        <f>F59+AB29</f>
        <v>-0.76999807594212843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08" t="s">
        <v>147</v>
      </c>
      <c r="D60" s="108"/>
      <c r="E60" s="108"/>
      <c r="F60">
        <f>(D37*AB30*(1+I37))/(2*(1-D48))</f>
        <v>7.1903942263427414</v>
      </c>
      <c r="I60" t="s">
        <v>26</v>
      </c>
      <c r="J60" s="108" t="s">
        <v>91</v>
      </c>
      <c r="K60" s="108"/>
      <c r="L60" s="108" t="s">
        <v>148</v>
      </c>
      <c r="M60" s="108"/>
      <c r="N60" s="108"/>
      <c r="O60">
        <f>F60+AB30</f>
        <v>9.287807230005745</v>
      </c>
    </row>
    <row r="61" spans="1:20" x14ac:dyDescent="0.25">
      <c r="B61" t="s">
        <v>80</v>
      </c>
      <c r="C61" s="108" t="s">
        <v>149</v>
      </c>
      <c r="D61" s="108"/>
      <c r="E61" s="108"/>
      <c r="F61">
        <f>(D37*AB30*(1+I37))/(2*(1-D48)*(1-D37))</f>
        <v>-6.0280502379948864</v>
      </c>
      <c r="J61" s="108" t="s">
        <v>80</v>
      </c>
      <c r="K61" s="108"/>
      <c r="L61" s="108" t="s">
        <v>150</v>
      </c>
      <c r="M61" s="108"/>
      <c r="N61" s="108"/>
      <c r="O61">
        <f>F61+AB30</f>
        <v>-3.9306372343318827</v>
      </c>
    </row>
    <row r="62" spans="1:20" x14ac:dyDescent="0.25">
      <c r="A62" s="110" t="s">
        <v>152</v>
      </c>
      <c r="B62" s="110"/>
      <c r="C62" s="110"/>
      <c r="D62" s="110"/>
      <c r="E62" s="110"/>
      <c r="F62" s="110"/>
      <c r="I62" s="110" t="s">
        <v>153</v>
      </c>
      <c r="J62" s="110"/>
      <c r="K62" s="110"/>
      <c r="L62" s="110"/>
      <c r="M62" s="110"/>
      <c r="N62" s="110"/>
      <c r="O62" s="110"/>
    </row>
    <row r="63" spans="1:20" x14ac:dyDescent="0.25">
      <c r="A63" s="2" t="s">
        <v>67</v>
      </c>
      <c r="B63" s="111" t="s">
        <v>68</v>
      </c>
      <c r="C63" s="111"/>
      <c r="D63" s="111"/>
      <c r="E63" s="111"/>
      <c r="F63" s="2" t="s">
        <v>145</v>
      </c>
      <c r="I63" s="2" t="s">
        <v>67</v>
      </c>
      <c r="J63" s="111" t="s">
        <v>68</v>
      </c>
      <c r="K63" s="111"/>
      <c r="L63" s="111"/>
      <c r="M63" s="111"/>
      <c r="N63" s="111"/>
      <c r="O63" s="2" t="s">
        <v>146</v>
      </c>
    </row>
    <row r="64" spans="1:20" x14ac:dyDescent="0.25">
      <c r="A64" t="s">
        <v>23</v>
      </c>
      <c r="B64" s="108" t="s">
        <v>154</v>
      </c>
      <c r="C64" s="108"/>
      <c r="D64" s="108"/>
      <c r="E64" s="108"/>
      <c r="F64">
        <f>C42*F54+C43*F55</f>
        <v>-0.21054604529827176</v>
      </c>
      <c r="I64" t="s">
        <v>23</v>
      </c>
      <c r="J64" s="108" t="s">
        <v>155</v>
      </c>
      <c r="K64" s="108"/>
      <c r="L64" s="108"/>
      <c r="M64" s="108"/>
      <c r="N64" s="108"/>
      <c r="O64">
        <f>C42*O54+C43*O55</f>
        <v>-0.13384215509747935</v>
      </c>
    </row>
    <row r="65" spans="1:15" x14ac:dyDescent="0.25">
      <c r="A65" t="s">
        <v>24</v>
      </c>
      <c r="B65" s="108" t="s">
        <v>154</v>
      </c>
      <c r="C65" s="108"/>
      <c r="D65" s="108"/>
      <c r="E65" s="108"/>
      <c r="F65">
        <f>C44*F56+C45*F57</f>
        <v>-0.35191707178630199</v>
      </c>
      <c r="I65" t="s">
        <v>24</v>
      </c>
      <c r="J65" s="108" t="s">
        <v>155</v>
      </c>
      <c r="K65" s="108"/>
      <c r="L65" s="108"/>
      <c r="M65" s="108"/>
      <c r="N65" s="108"/>
      <c r="O65">
        <f>C44*O56+C45*O57</f>
        <v>-0.21108412401873736</v>
      </c>
    </row>
    <row r="66" spans="1:15" x14ac:dyDescent="0.25">
      <c r="A66" t="s">
        <v>25</v>
      </c>
      <c r="B66" s="108" t="s">
        <v>154</v>
      </c>
      <c r="C66" s="108"/>
      <c r="D66" s="108"/>
      <c r="E66" s="108"/>
      <c r="F66">
        <f>C46*F58+C47*F59</f>
        <v>-1.2301339788858281</v>
      </c>
      <c r="I66" t="s">
        <v>25</v>
      </c>
      <c r="J66" s="108" t="s">
        <v>155</v>
      </c>
      <c r="K66" s="108"/>
      <c r="L66" s="108"/>
      <c r="M66" s="108"/>
      <c r="N66" s="108"/>
      <c r="O66">
        <f>C46*O58+C47*O59</f>
        <v>-0.76640621410277987</v>
      </c>
    </row>
    <row r="67" spans="1:15" x14ac:dyDescent="0.25">
      <c r="A67" t="s">
        <v>26</v>
      </c>
      <c r="B67" s="108" t="s">
        <v>154</v>
      </c>
      <c r="C67" s="108"/>
      <c r="D67" s="108"/>
      <c r="E67" s="108"/>
      <c r="F67">
        <f>C48*F60+C49*F61</f>
        <v>-6.0114441519844126</v>
      </c>
      <c r="I67" t="s">
        <v>26</v>
      </c>
      <c r="J67" s="108" t="s">
        <v>155</v>
      </c>
      <c r="K67" s="108"/>
      <c r="L67" s="108"/>
      <c r="M67" s="108"/>
      <c r="N67" s="108"/>
      <c r="O67">
        <f>C48*O60+C49*O61</f>
        <v>-3.9140311483214085</v>
      </c>
    </row>
    <row r="70" spans="1:15" x14ac:dyDescent="0.25">
      <c r="A70" s="110" t="s">
        <v>156</v>
      </c>
      <c r="B70" s="110"/>
      <c r="C70" s="110"/>
      <c r="D70" s="110"/>
      <c r="E70" s="110"/>
      <c r="F70" s="110"/>
      <c r="I70" s="110" t="s">
        <v>157</v>
      </c>
      <c r="J70" s="110"/>
      <c r="K70" s="110"/>
      <c r="L70" s="110"/>
      <c r="M70" s="110"/>
      <c r="N70" s="110"/>
      <c r="O70" s="110"/>
    </row>
    <row r="71" spans="1:15" x14ac:dyDescent="0.25">
      <c r="A71" s="2" t="s">
        <v>67</v>
      </c>
      <c r="B71" s="2" t="s">
        <v>144</v>
      </c>
      <c r="C71" s="111" t="s">
        <v>68</v>
      </c>
      <c r="D71" s="111"/>
      <c r="E71" s="111"/>
      <c r="F71" s="2" t="s">
        <v>158</v>
      </c>
      <c r="I71" s="2" t="s">
        <v>67</v>
      </c>
      <c r="J71" s="111" t="s">
        <v>144</v>
      </c>
      <c r="K71" s="111"/>
      <c r="L71" s="111" t="s">
        <v>68</v>
      </c>
      <c r="M71" s="111"/>
      <c r="N71" s="111"/>
      <c r="O71" s="2" t="s">
        <v>159</v>
      </c>
    </row>
    <row r="72" spans="1:15" x14ac:dyDescent="0.25">
      <c r="A72" t="s">
        <v>23</v>
      </c>
      <c r="B72" t="s">
        <v>77</v>
      </c>
      <c r="C72" s="108" t="s">
        <v>160</v>
      </c>
      <c r="D72" s="108"/>
      <c r="E72" s="108"/>
      <c r="F72">
        <f t="shared" ref="F72:F79" si="0">P10*F54</f>
        <v>2.3477691303125958E-3</v>
      </c>
      <c r="I72" t="s">
        <v>23</v>
      </c>
      <c r="J72" s="108" t="s">
        <v>77</v>
      </c>
      <c r="K72" s="108"/>
      <c r="L72" s="108" t="s">
        <v>161</v>
      </c>
      <c r="M72" s="108"/>
      <c r="N72" s="108"/>
      <c r="O72">
        <f t="shared" ref="O72:O79" si="1">P10*O54</f>
        <v>3.8228700354788927E-3</v>
      </c>
    </row>
    <row r="73" spans="1:15" x14ac:dyDescent="0.25">
      <c r="B73" t="s">
        <v>80</v>
      </c>
      <c r="C73" s="108" t="s">
        <v>162</v>
      </c>
      <c r="D73" s="108"/>
      <c r="E73" s="108"/>
      <c r="F73">
        <f t="shared" si="0"/>
        <v>-4.3365190424404947</v>
      </c>
      <c r="J73" s="108" t="s">
        <v>80</v>
      </c>
      <c r="K73" s="108"/>
      <c r="L73" s="108" t="s">
        <v>163</v>
      </c>
      <c r="M73" s="108"/>
      <c r="N73" s="108"/>
      <c r="O73">
        <f t="shared" si="1"/>
        <v>-2.759015079699759</v>
      </c>
    </row>
    <row r="74" spans="1:15" x14ac:dyDescent="0.25">
      <c r="A74" t="s">
        <v>24</v>
      </c>
      <c r="B74" t="s">
        <v>77</v>
      </c>
      <c r="C74" s="108" t="s">
        <v>164</v>
      </c>
      <c r="D74" s="108"/>
      <c r="E74" s="108"/>
      <c r="F74">
        <f t="shared" si="0"/>
        <v>2.8581790933724705E-3</v>
      </c>
      <c r="I74" t="s">
        <v>24</v>
      </c>
      <c r="J74" s="108" t="s">
        <v>77</v>
      </c>
      <c r="K74" s="108"/>
      <c r="L74" s="108" t="s">
        <v>165</v>
      </c>
      <c r="M74" s="108"/>
      <c r="N74" s="108"/>
      <c r="O74">
        <f t="shared" si="1"/>
        <v>4.223352754503102E-3</v>
      </c>
    </row>
    <row r="75" spans="1:15" x14ac:dyDescent="0.25">
      <c r="B75" t="s">
        <v>80</v>
      </c>
      <c r="C75" s="108" t="s">
        <v>166</v>
      </c>
      <c r="D75" s="108"/>
      <c r="E75" s="108"/>
      <c r="F75">
        <f t="shared" si="0"/>
        <v>-4.5924640219588406</v>
      </c>
      <c r="J75" s="108" t="s">
        <v>80</v>
      </c>
      <c r="K75" s="108"/>
      <c r="L75" s="108" t="s">
        <v>167</v>
      </c>
      <c r="M75" s="108"/>
      <c r="N75" s="108"/>
      <c r="O75">
        <f t="shared" si="1"/>
        <v>-2.7571245519348193</v>
      </c>
    </row>
    <row r="76" spans="1:15" x14ac:dyDescent="0.25">
      <c r="A76" t="s">
        <v>25</v>
      </c>
      <c r="B76" t="s">
        <v>77</v>
      </c>
      <c r="C76" s="108" t="s">
        <v>168</v>
      </c>
      <c r="D76" s="108"/>
      <c r="E76" s="108"/>
      <c r="F76">
        <f t="shared" si="0"/>
        <v>6.1184632125555125E-3</v>
      </c>
      <c r="I76" t="s">
        <v>25</v>
      </c>
      <c r="J76" s="108" t="s">
        <v>77</v>
      </c>
      <c r="K76" s="108"/>
      <c r="L76" s="108" t="s">
        <v>169</v>
      </c>
      <c r="M76" s="108"/>
      <c r="N76" s="108"/>
      <c r="O76">
        <f t="shared" si="1"/>
        <v>9.029857073964245E-3</v>
      </c>
    </row>
    <row r="77" spans="1:15" x14ac:dyDescent="0.25">
      <c r="B77" t="s">
        <v>80</v>
      </c>
      <c r="C77" s="108" t="s">
        <v>170</v>
      </c>
      <c r="D77" s="108"/>
      <c r="E77" s="108"/>
      <c r="F77">
        <f t="shared" si="0"/>
        <v>-4.7542652487577941</v>
      </c>
      <c r="J77" s="108" t="s">
        <v>80</v>
      </c>
      <c r="K77" s="108"/>
      <c r="L77" s="108" t="s">
        <v>171</v>
      </c>
      <c r="M77" s="108"/>
      <c r="N77" s="108"/>
      <c r="O77">
        <f t="shared" si="1"/>
        <v>-2.9672516966251141</v>
      </c>
    </row>
    <row r="78" spans="1:15" x14ac:dyDescent="0.25">
      <c r="A78" t="s">
        <v>26</v>
      </c>
      <c r="B78" t="s">
        <v>91</v>
      </c>
      <c r="C78" s="108" t="s">
        <v>172</v>
      </c>
      <c r="D78" s="108"/>
      <c r="E78" s="108"/>
      <c r="F78">
        <f t="shared" si="0"/>
        <v>9.444069309717102E-3</v>
      </c>
      <c r="I78" t="s">
        <v>26</v>
      </c>
      <c r="J78" s="108" t="s">
        <v>91</v>
      </c>
      <c r="K78" s="108"/>
      <c r="L78" s="108" t="s">
        <v>173</v>
      </c>
      <c r="M78" s="108"/>
      <c r="N78" s="108"/>
      <c r="O78">
        <f t="shared" si="1"/>
        <v>1.219887150194271E-2</v>
      </c>
    </row>
    <row r="79" spans="1:15" x14ac:dyDescent="0.25">
      <c r="B79" t="s">
        <v>80</v>
      </c>
      <c r="C79" s="108" t="s">
        <v>174</v>
      </c>
      <c r="D79" s="108"/>
      <c r="E79" s="108"/>
      <c r="F79">
        <f t="shared" si="0"/>
        <v>-6.2943437249940519</v>
      </c>
      <c r="J79" s="108" t="s">
        <v>80</v>
      </c>
      <c r="K79" s="108"/>
      <c r="L79" s="108" t="s">
        <v>175</v>
      </c>
      <c r="M79" s="108"/>
      <c r="N79" s="108"/>
      <c r="O79">
        <f t="shared" si="1"/>
        <v>-4.1042759821746939</v>
      </c>
    </row>
    <row r="80" spans="1:15" x14ac:dyDescent="0.25">
      <c r="A80" s="110" t="s">
        <v>176</v>
      </c>
      <c r="B80" s="110"/>
      <c r="C80" s="110"/>
      <c r="D80" s="110"/>
      <c r="E80" s="110"/>
      <c r="F80" s="110"/>
      <c r="I80" s="110" t="s">
        <v>177</v>
      </c>
      <c r="J80" s="110"/>
      <c r="K80" s="110"/>
      <c r="L80" s="110"/>
      <c r="M80" s="110"/>
      <c r="N80" s="110"/>
      <c r="O80" s="110"/>
    </row>
    <row r="81" spans="1:22" x14ac:dyDescent="0.25">
      <c r="A81" s="2" t="s">
        <v>67</v>
      </c>
      <c r="B81" s="111" t="s">
        <v>68</v>
      </c>
      <c r="C81" s="111"/>
      <c r="D81" s="111"/>
      <c r="E81" s="111"/>
      <c r="F81" s="2" t="s">
        <v>158</v>
      </c>
      <c r="I81" s="2" t="s">
        <v>67</v>
      </c>
      <c r="J81" s="111" t="s">
        <v>68</v>
      </c>
      <c r="K81" s="111"/>
      <c r="L81" s="111"/>
      <c r="M81" s="111"/>
      <c r="N81" s="111"/>
      <c r="O81" s="2" t="s">
        <v>159</v>
      </c>
    </row>
    <row r="82" spans="1:22" x14ac:dyDescent="0.25">
      <c r="A82" t="s">
        <v>23</v>
      </c>
      <c r="B82" s="108" t="s">
        <v>178</v>
      </c>
      <c r="C82" s="108"/>
      <c r="D82" s="108"/>
      <c r="E82" s="108"/>
      <c r="F82">
        <f>Q19*F64</f>
        <v>-4.334171273310182</v>
      </c>
      <c r="I82" t="s">
        <v>23</v>
      </c>
      <c r="J82" s="108" t="s">
        <v>179</v>
      </c>
      <c r="K82" s="108"/>
      <c r="L82" s="108"/>
      <c r="M82" s="108"/>
      <c r="N82" s="108"/>
      <c r="O82">
        <f>Q19*O64</f>
        <v>-2.7551922096642802</v>
      </c>
    </row>
    <row r="83" spans="1:22" x14ac:dyDescent="0.25">
      <c r="A83" t="s">
        <v>24</v>
      </c>
      <c r="B83" s="108" t="s">
        <v>180</v>
      </c>
      <c r="C83" s="108"/>
      <c r="D83" s="108"/>
      <c r="E83" s="108"/>
      <c r="F83">
        <f>Q20*F65</f>
        <v>-4.5896058428654687</v>
      </c>
      <c r="I83" t="s">
        <v>24</v>
      </c>
      <c r="J83" s="108" t="s">
        <v>181</v>
      </c>
      <c r="K83" s="108"/>
      <c r="L83" s="108"/>
      <c r="M83" s="108"/>
      <c r="N83" s="108"/>
      <c r="O83">
        <f>Q20*O65</f>
        <v>-2.7529011991803158</v>
      </c>
    </row>
    <row r="84" spans="1:22" x14ac:dyDescent="0.25">
      <c r="A84" t="s">
        <v>25</v>
      </c>
      <c r="B84" s="108" t="s">
        <v>182</v>
      </c>
      <c r="C84" s="108"/>
      <c r="D84" s="108"/>
      <c r="E84" s="108"/>
      <c r="F84">
        <f>Q21*F66</f>
        <v>-4.7481467855452379</v>
      </c>
      <c r="I84" t="s">
        <v>25</v>
      </c>
      <c r="J84" s="108" t="s">
        <v>183</v>
      </c>
      <c r="K84" s="108"/>
      <c r="L84" s="108"/>
      <c r="M84" s="108"/>
      <c r="N84" s="108"/>
      <c r="O84">
        <f>Q21*O66</f>
        <v>-2.9582218395511499</v>
      </c>
    </row>
    <row r="85" spans="1:22" x14ac:dyDescent="0.25">
      <c r="A85" t="s">
        <v>26</v>
      </c>
      <c r="B85" s="108" t="s">
        <v>184</v>
      </c>
      <c r="C85" s="108"/>
      <c r="D85" s="108"/>
      <c r="E85" s="108"/>
      <c r="F85">
        <f>Q22*F67</f>
        <v>-6.2848996556843355</v>
      </c>
      <c r="I85" t="s">
        <v>26</v>
      </c>
      <c r="J85" s="108" t="s">
        <v>185</v>
      </c>
      <c r="K85" s="108"/>
      <c r="L85" s="108"/>
      <c r="M85" s="108"/>
      <c r="N85" s="108"/>
      <c r="O85">
        <f>Q22*O67</f>
        <v>-4.0920771106727516</v>
      </c>
    </row>
    <row r="88" spans="1:22" x14ac:dyDescent="0.25">
      <c r="A88" s="115" t="s">
        <v>186</v>
      </c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</row>
    <row r="89" spans="1:22" x14ac:dyDescent="0.25">
      <c r="A89" s="110" t="s">
        <v>142</v>
      </c>
      <c r="B89" s="110"/>
      <c r="C89" s="110"/>
      <c r="D89" s="110"/>
      <c r="E89" s="110"/>
      <c r="F89" s="110"/>
      <c r="I89" s="110" t="s">
        <v>143</v>
      </c>
      <c r="J89" s="110"/>
      <c r="K89" s="110"/>
      <c r="L89" s="110"/>
      <c r="M89" s="110"/>
      <c r="N89" s="110"/>
      <c r="O89" s="110"/>
      <c r="R89" s="114" t="s">
        <v>187</v>
      </c>
      <c r="S89" s="114"/>
      <c r="T89" s="114"/>
      <c r="U89" s="114"/>
      <c r="V89" s="114"/>
    </row>
    <row r="90" spans="1:22" x14ac:dyDescent="0.25">
      <c r="A90" s="2" t="s">
        <v>67</v>
      </c>
      <c r="B90" s="2" t="s">
        <v>144</v>
      </c>
      <c r="C90" s="111" t="s">
        <v>68</v>
      </c>
      <c r="D90" s="111"/>
      <c r="E90" s="111"/>
      <c r="F90" s="2" t="s">
        <v>145</v>
      </c>
      <c r="I90" s="2" t="s">
        <v>67</v>
      </c>
      <c r="J90" s="111" t="s">
        <v>144</v>
      </c>
      <c r="K90" s="111"/>
      <c r="L90" s="111" t="s">
        <v>68</v>
      </c>
      <c r="M90" s="111"/>
      <c r="N90" s="111"/>
      <c r="O90" s="2" t="s">
        <v>146</v>
      </c>
      <c r="R90" s="2" t="s">
        <v>67</v>
      </c>
      <c r="S90" s="111" t="s">
        <v>68</v>
      </c>
      <c r="T90" s="111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08" t="s">
        <v>188</v>
      </c>
      <c r="D91" s="108"/>
      <c r="E91" s="108"/>
      <c r="F91">
        <f>(U98*U91)/(1-U105)</f>
        <v>2.9625116906426847E-2</v>
      </c>
      <c r="I91" t="s">
        <v>23</v>
      </c>
      <c r="J91" s="108" t="s">
        <v>77</v>
      </c>
      <c r="K91" s="108"/>
      <c r="L91" s="108" t="s">
        <v>148</v>
      </c>
      <c r="M91" s="108"/>
      <c r="N91" s="108"/>
      <c r="O91">
        <f>F91+U91</f>
        <v>6.754719482850477E-2</v>
      </c>
      <c r="R91" t="s">
        <v>23</v>
      </c>
      <c r="S91" s="108" t="s">
        <v>189</v>
      </c>
      <c r="T91" s="108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08" t="s">
        <v>190</v>
      </c>
      <c r="D92" s="108"/>
      <c r="E92" s="108"/>
      <c r="F92">
        <f>(U98*U91)/((1-U105)*(1-U98))</f>
        <v>0.13505284137068607</v>
      </c>
      <c r="J92" s="108" t="s">
        <v>80</v>
      </c>
      <c r="K92" s="108"/>
      <c r="L92" s="108" t="s">
        <v>150</v>
      </c>
      <c r="M92" s="108"/>
      <c r="N92" s="108"/>
      <c r="O92">
        <f>F92+U91</f>
        <v>0.17297491929276398</v>
      </c>
      <c r="R92" t="s">
        <v>24</v>
      </c>
      <c r="S92" s="108" t="s">
        <v>191</v>
      </c>
      <c r="T92" s="108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08" t="s">
        <v>188</v>
      </c>
      <c r="D93" s="108"/>
      <c r="E93" s="108"/>
      <c r="F93">
        <f>(U99*U92)/(1-U107)</f>
        <v>4.8035312696792357E-2</v>
      </c>
      <c r="I93" t="s">
        <v>24</v>
      </c>
      <c r="J93" s="108" t="s">
        <v>77</v>
      </c>
      <c r="K93" s="108"/>
      <c r="L93" s="108" t="s">
        <v>148</v>
      </c>
      <c r="M93" s="108"/>
      <c r="N93" s="108"/>
      <c r="O93">
        <f>F93+U92</f>
        <v>0.10870685524998384</v>
      </c>
      <c r="R93" t="s">
        <v>25</v>
      </c>
      <c r="S93" s="108" t="s">
        <v>192</v>
      </c>
      <c r="T93" s="108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08" t="s">
        <v>190</v>
      </c>
      <c r="D94" s="108"/>
      <c r="E94" s="108"/>
      <c r="F94">
        <f>(U99*U92)/((1-U107)*(1-U99))</f>
        <v>0.23012207284857372</v>
      </c>
      <c r="J94" s="108" t="s">
        <v>80</v>
      </c>
      <c r="K94" s="108"/>
      <c r="L94" s="108" t="s">
        <v>150</v>
      </c>
      <c r="M94" s="108"/>
      <c r="N94" s="108"/>
      <c r="O94">
        <f>F94+U92</f>
        <v>0.29079361540176518</v>
      </c>
      <c r="R94" t="s">
        <v>26</v>
      </c>
      <c r="S94" s="108" t="s">
        <v>193</v>
      </c>
      <c r="T94" s="108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08" t="s">
        <v>188</v>
      </c>
      <c r="D95" s="108"/>
      <c r="E95" s="108"/>
      <c r="F95">
        <f>(U100*U93)/(1-U109)</f>
        <v>0.14644886495200449</v>
      </c>
      <c r="I95" t="s">
        <v>25</v>
      </c>
      <c r="J95" s="108" t="s">
        <v>77</v>
      </c>
      <c r="K95" s="108"/>
      <c r="L95" s="108" t="s">
        <v>148</v>
      </c>
      <c r="M95" s="108"/>
      <c r="N95" s="108"/>
      <c r="O95">
        <f>F95+U93</f>
        <v>0.34111553161867114</v>
      </c>
    </row>
    <row r="96" spans="1:22" x14ac:dyDescent="0.25">
      <c r="B96" t="s">
        <v>80</v>
      </c>
      <c r="C96" s="108" t="s">
        <v>190</v>
      </c>
      <c r="D96" s="108"/>
      <c r="E96" s="108"/>
      <c r="F96">
        <f>(U100*U93)/((1-U109)*(1-U100))</f>
        <v>0.5890620968216731</v>
      </c>
      <c r="J96" s="108" t="s">
        <v>80</v>
      </c>
      <c r="K96" s="108"/>
      <c r="L96" s="108" t="s">
        <v>150</v>
      </c>
      <c r="M96" s="108"/>
      <c r="N96" s="108"/>
      <c r="O96">
        <f>F96+U93</f>
        <v>0.78372876348833975</v>
      </c>
    </row>
    <row r="97" spans="1:21" x14ac:dyDescent="0.25">
      <c r="A97" t="s">
        <v>26</v>
      </c>
      <c r="B97" t="s">
        <v>91</v>
      </c>
      <c r="C97" s="108" t="s">
        <v>188</v>
      </c>
      <c r="D97" s="108"/>
      <c r="E97" s="108"/>
      <c r="F97">
        <f>(U101*U94)/(1-U111)</f>
        <v>0.55323897499522867</v>
      </c>
      <c r="I97" t="s">
        <v>26</v>
      </c>
      <c r="J97" s="108" t="s">
        <v>91</v>
      </c>
      <c r="K97" s="108"/>
      <c r="L97" s="108" t="s">
        <v>148</v>
      </c>
      <c r="M97" s="108"/>
      <c r="N97" s="108"/>
      <c r="O97">
        <f>F97+U93</f>
        <v>0.74790564166189533</v>
      </c>
      <c r="R97" s="113" t="s">
        <v>128</v>
      </c>
      <c r="S97" s="113"/>
      <c r="T97" s="113"/>
      <c r="U97" s="113"/>
    </row>
    <row r="98" spans="1:21" x14ac:dyDescent="0.25">
      <c r="B98" t="s">
        <v>80</v>
      </c>
      <c r="C98" s="108" t="s">
        <v>190</v>
      </c>
      <c r="D98" s="108"/>
      <c r="E98" s="108"/>
      <c r="F98">
        <f>(U101*U94)/((1-U111)*(1-U101))</f>
        <v>2.3067619058366273</v>
      </c>
      <c r="J98" s="108" t="s">
        <v>80</v>
      </c>
      <c r="K98" s="108"/>
      <c r="L98" s="108" t="s">
        <v>150</v>
      </c>
      <c r="M98" s="108"/>
      <c r="N98" s="108"/>
      <c r="O98">
        <f>F98+U94</f>
        <v>3.0338535393027626</v>
      </c>
      <c r="R98" t="s">
        <v>23</v>
      </c>
      <c r="S98" s="112" t="s">
        <v>130</v>
      </c>
      <c r="T98" s="112"/>
      <c r="U98">
        <f>Q19*U91</f>
        <v>0.78064055072256233</v>
      </c>
    </row>
    <row r="99" spans="1:21" x14ac:dyDescent="0.25">
      <c r="A99" s="110" t="s">
        <v>152</v>
      </c>
      <c r="B99" s="110"/>
      <c r="C99" s="110"/>
      <c r="D99" s="110"/>
      <c r="E99" s="110"/>
      <c r="F99" s="110"/>
      <c r="I99" s="110" t="s">
        <v>153</v>
      </c>
      <c r="J99" s="110"/>
      <c r="K99" s="110"/>
      <c r="L99" s="110"/>
      <c r="M99" s="110"/>
      <c r="N99" s="110"/>
      <c r="O99" s="110"/>
      <c r="R99" t="s">
        <v>24</v>
      </c>
      <c r="S99" s="112" t="s">
        <v>132</v>
      </c>
      <c r="T99" s="112"/>
      <c r="U99">
        <f>Q20*U92</f>
        <v>0.79126160258255263</v>
      </c>
    </row>
    <row r="100" spans="1:21" x14ac:dyDescent="0.25">
      <c r="A100" s="2" t="s">
        <v>67</v>
      </c>
      <c r="B100" s="111" t="s">
        <v>68</v>
      </c>
      <c r="C100" s="111"/>
      <c r="D100" s="111"/>
      <c r="E100" s="111"/>
      <c r="F100" s="2" t="s">
        <v>145</v>
      </c>
      <c r="I100" s="2" t="s">
        <v>67</v>
      </c>
      <c r="J100" s="111" t="s">
        <v>68</v>
      </c>
      <c r="K100" s="111"/>
      <c r="L100" s="111"/>
      <c r="M100" s="111"/>
      <c r="N100" s="111"/>
      <c r="O100" s="2" t="s">
        <v>146</v>
      </c>
      <c r="R100" t="s">
        <v>25</v>
      </c>
      <c r="S100" s="112" t="s">
        <v>133</v>
      </c>
      <c r="T100" s="112"/>
      <c r="U100">
        <f>Q21*U93</f>
        <v>0.75138637209526826</v>
      </c>
    </row>
    <row r="101" spans="1:21" x14ac:dyDescent="0.25">
      <c r="A101" t="s">
        <v>23</v>
      </c>
      <c r="B101" s="108" t="s">
        <v>154</v>
      </c>
      <c r="C101" s="108"/>
      <c r="D101" s="108"/>
      <c r="E101" s="108"/>
      <c r="F101">
        <f>T105*F91+T106*F92</f>
        <v>0.13495434954431079</v>
      </c>
      <c r="I101" t="s">
        <v>23</v>
      </c>
      <c r="J101" s="108" t="s">
        <v>155</v>
      </c>
      <c r="K101" s="108"/>
      <c r="L101" s="108"/>
      <c r="M101" s="108"/>
      <c r="N101" s="108"/>
      <c r="O101">
        <f>T105*O91+T106*O92</f>
        <v>0.1728764274663887</v>
      </c>
      <c r="R101" t="s">
        <v>26</v>
      </c>
      <c r="S101" s="112" t="s">
        <v>134</v>
      </c>
      <c r="T101" s="112"/>
      <c r="U101">
        <f>Q22*U94</f>
        <v>0.76016641613709268</v>
      </c>
    </row>
    <row r="102" spans="1:21" x14ac:dyDescent="0.25">
      <c r="A102" t="s">
        <v>24</v>
      </c>
      <c r="B102" s="108" t="s">
        <v>154</v>
      </c>
      <c r="C102" s="108"/>
      <c r="D102" s="108"/>
      <c r="E102" s="108"/>
      <c r="F102">
        <f>T107*F93+T108*F94</f>
        <v>0.22998673260764035</v>
      </c>
      <c r="I102" t="s">
        <v>24</v>
      </c>
      <c r="J102" s="108" t="s">
        <v>155</v>
      </c>
      <c r="K102" s="108"/>
      <c r="L102" s="108"/>
      <c r="M102" s="108"/>
      <c r="N102" s="108"/>
      <c r="O102">
        <f>T107*O93+T108*O94</f>
        <v>0.29065827516083181</v>
      </c>
    </row>
    <row r="103" spans="1:21" x14ac:dyDescent="0.25">
      <c r="A103" t="s">
        <v>25</v>
      </c>
      <c r="B103" s="108" t="s">
        <v>154</v>
      </c>
      <c r="C103" s="108"/>
      <c r="D103" s="108"/>
      <c r="E103" s="108"/>
      <c r="F103">
        <f>T109*F95+T110*F96</f>
        <v>0.58834216638597092</v>
      </c>
      <c r="I103" t="s">
        <v>25</v>
      </c>
      <c r="J103" s="108" t="s">
        <v>155</v>
      </c>
      <c r="K103" s="108"/>
      <c r="L103" s="108"/>
      <c r="M103" s="108"/>
      <c r="N103" s="108"/>
      <c r="O103">
        <f>T109*O95+T110*O96</f>
        <v>0.78300883305263769</v>
      </c>
      <c r="R103" s="113" t="s">
        <v>135</v>
      </c>
      <c r="S103" s="113"/>
      <c r="T103" s="113"/>
      <c r="U103" s="113"/>
    </row>
    <row r="104" spans="1:21" x14ac:dyDescent="0.25">
      <c r="A104" t="s">
        <v>26</v>
      </c>
      <c r="B104" s="108" t="s">
        <v>154</v>
      </c>
      <c r="C104" s="108"/>
      <c r="D104" s="108"/>
      <c r="E104" s="108"/>
      <c r="F104">
        <f>T111*F97+T112*F98</f>
        <v>2.3045589875818013</v>
      </c>
      <c r="I104" t="s">
        <v>26</v>
      </c>
      <c r="J104" s="108" t="s">
        <v>155</v>
      </c>
      <c r="K104" s="108"/>
      <c r="L104" s="108"/>
      <c r="M104" s="108"/>
      <c r="N104" s="108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5">
        <f>P10/Q19</f>
        <v>9.3421182023797813E-4</v>
      </c>
      <c r="U105">
        <f>T105*U98</f>
        <v>7.2928362984210268E-4</v>
      </c>
    </row>
    <row r="106" spans="1:21" x14ac:dyDescent="0.25">
      <c r="S106" t="s">
        <v>140</v>
      </c>
      <c r="T106" s="35">
        <f>P11/Q19</f>
        <v>0.9990657881797621</v>
      </c>
      <c r="U106">
        <f>T106*U98</f>
        <v>0.7799112670927203</v>
      </c>
    </row>
    <row r="107" spans="1:21" x14ac:dyDescent="0.25">
      <c r="A107" s="110" t="s">
        <v>156</v>
      </c>
      <c r="B107" s="110"/>
      <c r="C107" s="110"/>
      <c r="D107" s="110"/>
      <c r="E107" s="110"/>
      <c r="F107" s="110"/>
      <c r="I107" s="110" t="s">
        <v>157</v>
      </c>
      <c r="J107" s="110"/>
      <c r="K107" s="110"/>
      <c r="L107" s="110"/>
      <c r="M107" s="110"/>
      <c r="N107" s="110"/>
      <c r="O107" s="110"/>
      <c r="R107" t="s">
        <v>24</v>
      </c>
      <c r="S107" t="s">
        <v>139</v>
      </c>
      <c r="T107" s="35">
        <f>P12/Q20</f>
        <v>7.4327337594767362E-4</v>
      </c>
      <c r="U107">
        <f>T107*U99</f>
        <v>5.8812368260930032E-4</v>
      </c>
    </row>
    <row r="108" spans="1:21" x14ac:dyDescent="0.25">
      <c r="A108" s="2" t="s">
        <v>67</v>
      </c>
      <c r="B108" s="2" t="s">
        <v>144</v>
      </c>
      <c r="C108" s="111" t="s">
        <v>68</v>
      </c>
      <c r="D108" s="111"/>
      <c r="E108" s="111"/>
      <c r="F108" s="2" t="s">
        <v>158</v>
      </c>
      <c r="I108" s="2" t="s">
        <v>67</v>
      </c>
      <c r="J108" s="111" t="s">
        <v>144</v>
      </c>
      <c r="K108" s="111"/>
      <c r="L108" s="111" t="s">
        <v>68</v>
      </c>
      <c r="M108" s="111"/>
      <c r="N108" s="111"/>
      <c r="O108" s="2" t="s">
        <v>159</v>
      </c>
      <c r="S108" t="s">
        <v>140</v>
      </c>
      <c r="T108" s="35">
        <f>P13/Q20</f>
        <v>0.9992567266240524</v>
      </c>
      <c r="U108">
        <f>T108*U99</f>
        <v>0.79067347889994344</v>
      </c>
    </row>
    <row r="109" spans="1:21" x14ac:dyDescent="0.25">
      <c r="A109" t="s">
        <v>23</v>
      </c>
      <c r="B109" t="s">
        <v>77</v>
      </c>
      <c r="C109" s="108" t="s">
        <v>160</v>
      </c>
      <c r="D109" s="108"/>
      <c r="E109" s="108"/>
      <c r="F109" s="4">
        <f t="shared" ref="F109:F116" si="2">P10*F91</f>
        <v>5.6972386472095972E-4</v>
      </c>
      <c r="I109" t="s">
        <v>23</v>
      </c>
      <c r="J109" s="108" t="s">
        <v>77</v>
      </c>
      <c r="K109" s="108"/>
      <c r="L109" s="108" t="s">
        <v>161</v>
      </c>
      <c r="M109" s="108"/>
      <c r="N109" s="108"/>
      <c r="O109">
        <f t="shared" ref="O109:O116" si="3">P10*O91</f>
        <v>1.2990074945630624E-3</v>
      </c>
      <c r="R109" t="s">
        <v>25</v>
      </c>
      <c r="S109" t="s">
        <v>139</v>
      </c>
      <c r="T109" s="35">
        <f>P14/Q21</f>
        <v>1.6265452179570592E-3</v>
      </c>
      <c r="U109">
        <f>T109*U100</f>
        <v>1.2221639103696621E-3</v>
      </c>
    </row>
    <row r="110" spans="1:21" x14ac:dyDescent="0.25">
      <c r="B110" t="s">
        <v>80</v>
      </c>
      <c r="C110" s="108" t="s">
        <v>162</v>
      </c>
      <c r="D110" s="108"/>
      <c r="E110" s="108"/>
      <c r="F110" s="4">
        <f t="shared" si="2"/>
        <v>2.7775174359989943</v>
      </c>
      <c r="J110" s="108" t="s">
        <v>80</v>
      </c>
      <c r="K110" s="108"/>
      <c r="L110" s="108" t="s">
        <v>163</v>
      </c>
      <c r="M110" s="108"/>
      <c r="N110" s="108"/>
      <c r="O110">
        <f t="shared" si="3"/>
        <v>3.5574287030917144</v>
      </c>
      <c r="S110" t="s">
        <v>140</v>
      </c>
      <c r="T110" s="35">
        <f>P15/Q21</f>
        <v>0.99837345478204298</v>
      </c>
      <c r="U110">
        <f>T110*U100</f>
        <v>0.7501642081848986</v>
      </c>
    </row>
    <row r="111" spans="1:21" x14ac:dyDescent="0.25">
      <c r="A111" t="s">
        <v>24</v>
      </c>
      <c r="B111" t="s">
        <v>77</v>
      </c>
      <c r="C111" s="108" t="s">
        <v>164</v>
      </c>
      <c r="D111" s="108"/>
      <c r="E111" s="108"/>
      <c r="F111" s="4">
        <f t="shared" si="2"/>
        <v>4.6563353772914319E-4</v>
      </c>
      <c r="I111" t="s">
        <v>24</v>
      </c>
      <c r="J111" s="108" t="s">
        <v>77</v>
      </c>
      <c r="K111" s="108"/>
      <c r="L111" s="108" t="s">
        <v>165</v>
      </c>
      <c r="M111" s="108"/>
      <c r="N111" s="108"/>
      <c r="O111">
        <f t="shared" si="3"/>
        <v>1.0537572203384437E-3</v>
      </c>
      <c r="R111" t="s">
        <v>26</v>
      </c>
      <c r="S111" t="s">
        <v>139</v>
      </c>
      <c r="T111" s="35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08" t="s">
        <v>166</v>
      </c>
      <c r="D112" s="108"/>
      <c r="E112" s="108"/>
      <c r="F112" s="4">
        <f t="shared" si="2"/>
        <v>2.9989581977634563</v>
      </c>
      <c r="J112" s="108" t="s">
        <v>80</v>
      </c>
      <c r="K112" s="108"/>
      <c r="L112" s="108" t="s">
        <v>167</v>
      </c>
      <c r="M112" s="108"/>
      <c r="N112" s="108"/>
      <c r="O112">
        <f t="shared" si="3"/>
        <v>3.7896316766633995</v>
      </c>
      <c r="S112" t="s">
        <v>140</v>
      </c>
      <c r="T112" s="35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08" t="s">
        <v>168</v>
      </c>
      <c r="D113" s="108"/>
      <c r="E113" s="108"/>
      <c r="F113" s="4">
        <f t="shared" si="2"/>
        <v>9.1944101434387169E-4</v>
      </c>
      <c r="I113" t="s">
        <v>25</v>
      </c>
      <c r="J113" s="108" t="s">
        <v>77</v>
      </c>
      <c r="K113" s="108"/>
      <c r="L113" s="108" t="s">
        <v>169</v>
      </c>
      <c r="M113" s="108"/>
      <c r="N113" s="108"/>
      <c r="O113">
        <f t="shared" si="3"/>
        <v>2.1416049247135337E-3</v>
      </c>
    </row>
    <row r="114" spans="1:20" x14ac:dyDescent="0.25">
      <c r="B114" t="s">
        <v>80</v>
      </c>
      <c r="C114" s="108" t="s">
        <v>170</v>
      </c>
      <c r="D114" s="108"/>
      <c r="E114" s="108"/>
      <c r="F114" s="4">
        <f t="shared" si="2"/>
        <v>2.2699998361333895</v>
      </c>
      <c r="J114" s="108" t="s">
        <v>80</v>
      </c>
      <c r="K114" s="108"/>
      <c r="L114" s="108" t="s">
        <v>171</v>
      </c>
      <c r="M114" s="108"/>
      <c r="N114" s="108"/>
      <c r="O114">
        <f t="shared" si="3"/>
        <v>3.020164044318288</v>
      </c>
    </row>
    <row r="115" spans="1:20" x14ac:dyDescent="0.25">
      <c r="A115" t="s">
        <v>26</v>
      </c>
      <c r="B115" t="s">
        <v>91</v>
      </c>
      <c r="C115" s="108" t="s">
        <v>172</v>
      </c>
      <c r="D115" s="108"/>
      <c r="E115" s="108"/>
      <c r="F115" s="4">
        <f t="shared" si="2"/>
        <v>7.2663988374241004E-4</v>
      </c>
      <c r="I115" t="s">
        <v>26</v>
      </c>
      <c r="J115" s="108" t="s">
        <v>91</v>
      </c>
      <c r="K115" s="108"/>
      <c r="L115" s="108" t="s">
        <v>173</v>
      </c>
      <c r="M115" s="108"/>
      <c r="N115" s="108"/>
      <c r="O115">
        <f t="shared" si="3"/>
        <v>9.823206481650703E-4</v>
      </c>
    </row>
    <row r="116" spans="1:20" x14ac:dyDescent="0.25">
      <c r="B116" t="s">
        <v>80</v>
      </c>
      <c r="C116" s="108" t="s">
        <v>174</v>
      </c>
      <c r="D116" s="108"/>
      <c r="E116" s="108"/>
      <c r="F116" s="4">
        <f t="shared" si="2"/>
        <v>2.4086647844341362</v>
      </c>
      <c r="J116" s="108" t="s">
        <v>80</v>
      </c>
      <c r="K116" s="108"/>
      <c r="L116" s="108" t="s">
        <v>175</v>
      </c>
      <c r="M116" s="108"/>
      <c r="N116" s="108"/>
      <c r="O116">
        <f t="shared" si="3"/>
        <v>3.1678762176363828</v>
      </c>
      <c r="S116" s="109" t="s">
        <v>151</v>
      </c>
      <c r="T116" s="109"/>
    </row>
    <row r="117" spans="1:20" x14ac:dyDescent="0.25">
      <c r="A117" s="110" t="s">
        <v>176</v>
      </c>
      <c r="B117" s="110"/>
      <c r="C117" s="110"/>
      <c r="D117" s="110"/>
      <c r="E117" s="110"/>
      <c r="F117" s="110"/>
      <c r="I117" s="110" t="s">
        <v>177</v>
      </c>
      <c r="J117" s="110"/>
      <c r="K117" s="110"/>
      <c r="L117" s="110"/>
      <c r="M117" s="110"/>
      <c r="N117" s="110"/>
      <c r="O117" s="110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11" t="s">
        <v>68</v>
      </c>
      <c r="C118" s="111"/>
      <c r="D118" s="111"/>
      <c r="E118" s="111"/>
      <c r="F118" s="2" t="s">
        <v>158</v>
      </c>
      <c r="I118" s="2" t="s">
        <v>67</v>
      </c>
      <c r="J118" s="111" t="s">
        <v>68</v>
      </c>
      <c r="K118" s="111"/>
      <c r="L118" s="111"/>
      <c r="M118" s="111"/>
      <c r="N118" s="111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08" t="s">
        <v>178</v>
      </c>
      <c r="C119" s="108"/>
      <c r="D119" s="108"/>
      <c r="E119" s="108"/>
      <c r="F119">
        <f>Q19*F101</f>
        <v>2.7780871598637153</v>
      </c>
      <c r="I119" t="s">
        <v>23</v>
      </c>
      <c r="J119" s="108" t="s">
        <v>179</v>
      </c>
      <c r="K119" s="108"/>
      <c r="L119" s="108"/>
      <c r="M119" s="108"/>
      <c r="N119" s="108"/>
      <c r="O119">
        <f>Q19*O101</f>
        <v>3.5587277105862776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08" t="s">
        <v>180</v>
      </c>
      <c r="C120" s="108"/>
      <c r="D120" s="108"/>
      <c r="E120" s="108"/>
      <c r="F120">
        <f>Q20*F102</f>
        <v>2.9994238313011858</v>
      </c>
      <c r="I120" t="s">
        <v>24</v>
      </c>
      <c r="J120" s="108" t="s">
        <v>181</v>
      </c>
      <c r="K120" s="108"/>
      <c r="L120" s="108"/>
      <c r="M120" s="108"/>
      <c r="N120" s="108"/>
      <c r="O120">
        <f>Q20*O102</f>
        <v>3.7906854338837381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08" t="s">
        <v>182</v>
      </c>
      <c r="C121" s="108"/>
      <c r="D121" s="108"/>
      <c r="E121" s="108"/>
      <c r="F121">
        <f>Q21*F103</f>
        <v>2.2709192771477329</v>
      </c>
      <c r="I121" t="s">
        <v>25</v>
      </c>
      <c r="J121" s="108" t="s">
        <v>183</v>
      </c>
      <c r="K121" s="108"/>
      <c r="L121" s="108"/>
      <c r="M121" s="108"/>
      <c r="N121" s="108"/>
      <c r="O121">
        <f>Q21*O103</f>
        <v>3.0223056492430018</v>
      </c>
    </row>
    <row r="122" spans="1:20" x14ac:dyDescent="0.25">
      <c r="A122" t="s">
        <v>26</v>
      </c>
      <c r="B122" s="108" t="s">
        <v>184</v>
      </c>
      <c r="C122" s="108"/>
      <c r="D122" s="108"/>
      <c r="E122" s="108"/>
      <c r="F122">
        <f>Q22*F104</f>
        <v>2.4093914243178784</v>
      </c>
      <c r="I122" t="s">
        <v>26</v>
      </c>
      <c r="J122" s="108" t="s">
        <v>185</v>
      </c>
      <c r="K122" s="108"/>
      <c r="L122" s="108"/>
      <c r="M122" s="108"/>
      <c r="N122" s="108"/>
      <c r="O122">
        <f>Q22*O104</f>
        <v>3.1688585382845482</v>
      </c>
    </row>
  </sheetData>
  <mergeCells count="263"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Verifica - ABO ID - V1</vt:lpstr>
      <vt:lpstr>Foglio2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2023-08-10T14:57:21Z</dcterms:modified>
  <dc:language>it-IT</dc:language>
</cp:coreProperties>
</file>