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422" documentId="13_ncr:1_{1EDDA4D1-F262-4D96-8D7D-E629F99C4381}" xr6:coauthVersionLast="47" xr6:coauthVersionMax="47" xr10:uidLastSave="{F5FE307C-1FA8-4858-A2E4-A99E11836373}"/>
  <bookViews>
    <workbookView xWindow="-120" yWindow="-120" windowWidth="20730" windowHeight="11160" tabRatio="500" activeTab="3" xr2:uid="{00000000-000D-0000-FFFF-FFFF00000000}"/>
  </bookViews>
  <sheets>
    <sheet name="Dati_OPTN" sheetId="4" r:id="rId1"/>
    <sheet name="Arrivi" sheetId="5" r:id="rId2"/>
    <sheet name="Uscite" sheetId="9" r:id="rId3"/>
    <sheet name="Centri - Identical" sheetId="8" r:id="rId4"/>
    <sheet name="Centri - Compatible" sheetId="13" r:id="rId5"/>
    <sheet name="Dati" sheetId="1" r:id="rId6"/>
    <sheet name="Note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4" i="8" l="1"/>
  <c r="F15" i="8"/>
  <c r="F13" i="8"/>
  <c r="F12" i="8"/>
  <c r="F11" i="8"/>
  <c r="F10" i="8"/>
  <c r="F9" i="8"/>
  <c r="F8" i="8"/>
  <c r="F7" i="8"/>
  <c r="F6" i="8"/>
  <c r="F5" i="8"/>
  <c r="F4" i="8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C38" i="9"/>
  <c r="C39" i="9"/>
  <c r="C40" i="9"/>
  <c r="C41" i="9"/>
  <c r="C42" i="9"/>
  <c r="C43" i="9"/>
  <c r="C44" i="9"/>
  <c r="C45" i="9"/>
  <c r="C27" i="9"/>
  <c r="C28" i="9"/>
  <c r="C29" i="9"/>
  <c r="C30" i="9"/>
  <c r="D30" i="9" s="1"/>
  <c r="C31" i="9"/>
  <c r="C32" i="9"/>
  <c r="C33" i="9"/>
  <c r="C34" i="9"/>
  <c r="D34" i="9" s="1"/>
  <c r="C35" i="9"/>
  <c r="C36" i="9"/>
  <c r="C37" i="9"/>
  <c r="C26" i="9"/>
  <c r="D26" i="9" s="1"/>
  <c r="D38" i="9"/>
  <c r="D39" i="9"/>
  <c r="D40" i="9"/>
  <c r="D41" i="9"/>
  <c r="D42" i="9"/>
  <c r="D43" i="9"/>
  <c r="D44" i="9"/>
  <c r="D45" i="9"/>
  <c r="K4" i="9"/>
  <c r="K5" i="9"/>
  <c r="K8" i="9"/>
  <c r="K9" i="9"/>
  <c r="K18" i="9"/>
  <c r="K22" i="9"/>
  <c r="I3" i="9"/>
  <c r="K3" i="9" s="1"/>
  <c r="I15" i="9"/>
  <c r="K15" i="9" s="1"/>
  <c r="I16" i="9"/>
  <c r="K16" i="9" s="1"/>
  <c r="I17" i="9"/>
  <c r="K17" i="9" s="1"/>
  <c r="I18" i="9"/>
  <c r="I19" i="9"/>
  <c r="K19" i="9" s="1"/>
  <c r="I20" i="9"/>
  <c r="K20" i="9" s="1"/>
  <c r="I21" i="9"/>
  <c r="K21" i="9" s="1"/>
  <c r="I22" i="9"/>
  <c r="I4" i="9"/>
  <c r="I5" i="9"/>
  <c r="I6" i="9"/>
  <c r="J6" i="9" s="1"/>
  <c r="E7" i="8" s="1"/>
  <c r="I7" i="9"/>
  <c r="K7" i="9" s="1"/>
  <c r="I8" i="9"/>
  <c r="I9" i="9"/>
  <c r="J9" i="9" s="1"/>
  <c r="E10" i="8" s="1"/>
  <c r="I10" i="9"/>
  <c r="J10" i="9" s="1"/>
  <c r="E11" i="8" s="1"/>
  <c r="I11" i="9"/>
  <c r="K11" i="9" s="1"/>
  <c r="I12" i="9"/>
  <c r="K12" i="9" s="1"/>
  <c r="I13" i="9"/>
  <c r="K13" i="9" s="1"/>
  <c r="I14" i="9"/>
  <c r="J14" i="9" s="1"/>
  <c r="E15" i="8" s="1"/>
  <c r="J3" i="9"/>
  <c r="E4" i="8" s="1"/>
  <c r="J15" i="9"/>
  <c r="J16" i="9"/>
  <c r="J17" i="9"/>
  <c r="J18" i="9"/>
  <c r="J19" i="9"/>
  <c r="J20" i="9"/>
  <c r="J21" i="9"/>
  <c r="J22" i="9"/>
  <c r="C4" i="9"/>
  <c r="E4" i="9" s="1"/>
  <c r="C5" i="9"/>
  <c r="E5" i="9" s="1"/>
  <c r="C6" i="9"/>
  <c r="D6" i="9" s="1"/>
  <c r="C7" i="9"/>
  <c r="D7" i="9" s="1"/>
  <c r="D8" i="8" s="1"/>
  <c r="C8" i="9"/>
  <c r="E8" i="9" s="1"/>
  <c r="C9" i="9"/>
  <c r="D9" i="9" s="1"/>
  <c r="D10" i="8" s="1"/>
  <c r="C10" i="9"/>
  <c r="D10" i="9" s="1"/>
  <c r="D11" i="8" s="1"/>
  <c r="C11" i="9"/>
  <c r="D11" i="9" s="1"/>
  <c r="D12" i="8" s="1"/>
  <c r="C12" i="9"/>
  <c r="E12" i="9" s="1"/>
  <c r="C13" i="9"/>
  <c r="E13" i="9" s="1"/>
  <c r="C14" i="9"/>
  <c r="D14" i="9" s="1"/>
  <c r="C15" i="9"/>
  <c r="D15" i="9" s="1"/>
  <c r="C16" i="9"/>
  <c r="E16" i="9" s="1"/>
  <c r="C17" i="9"/>
  <c r="E17" i="9" s="1"/>
  <c r="C18" i="9"/>
  <c r="E18" i="9" s="1"/>
  <c r="C19" i="9"/>
  <c r="D19" i="9" s="1"/>
  <c r="C20" i="9"/>
  <c r="E20" i="9" s="1"/>
  <c r="C21" i="9"/>
  <c r="D21" i="9" s="1"/>
  <c r="C22" i="9"/>
  <c r="D22" i="9" s="1"/>
  <c r="C3" i="9"/>
  <c r="D3" i="9" s="1"/>
  <c r="D4" i="8" s="1"/>
  <c r="D16" i="9"/>
  <c r="D17" i="9"/>
  <c r="D18" i="9"/>
  <c r="D20" i="9"/>
  <c r="J12" i="9"/>
  <c r="E13" i="8" s="1"/>
  <c r="J11" i="9"/>
  <c r="E12" i="8" s="1"/>
  <c r="J8" i="9"/>
  <c r="E9" i="8" s="1"/>
  <c r="J7" i="9"/>
  <c r="E8" i="8" s="1"/>
  <c r="J5" i="9"/>
  <c r="E6" i="8" s="1"/>
  <c r="J4" i="9"/>
  <c r="E5" i="8" s="1"/>
  <c r="Q67" i="4"/>
  <c r="Q66" i="4"/>
  <c r="Q50" i="4"/>
  <c r="R50" i="4"/>
  <c r="S50" i="4"/>
  <c r="T50" i="4"/>
  <c r="U50" i="4"/>
  <c r="V50" i="4"/>
  <c r="W50" i="4"/>
  <c r="X50" i="4"/>
  <c r="Y50" i="4"/>
  <c r="Z50" i="4"/>
  <c r="AA50" i="4"/>
  <c r="Q51" i="4"/>
  <c r="R51" i="4"/>
  <c r="S51" i="4"/>
  <c r="T51" i="4"/>
  <c r="U51" i="4"/>
  <c r="V51" i="4"/>
  <c r="W51" i="4"/>
  <c r="X51" i="4"/>
  <c r="Y51" i="4"/>
  <c r="Z51" i="4"/>
  <c r="AA51" i="4"/>
  <c r="Q52" i="4"/>
  <c r="R52" i="4"/>
  <c r="S52" i="4"/>
  <c r="T52" i="4"/>
  <c r="U52" i="4"/>
  <c r="V52" i="4"/>
  <c r="W52" i="4"/>
  <c r="X52" i="4"/>
  <c r="Y52" i="4"/>
  <c r="Z52" i="4"/>
  <c r="AA52" i="4"/>
  <c r="Q53" i="4"/>
  <c r="R53" i="4"/>
  <c r="S53" i="4"/>
  <c r="T53" i="4"/>
  <c r="U53" i="4"/>
  <c r="V53" i="4"/>
  <c r="W53" i="4"/>
  <c r="X53" i="4"/>
  <c r="Y53" i="4"/>
  <c r="Z53" i="4"/>
  <c r="AA53" i="4"/>
  <c r="Q54" i="4"/>
  <c r="R54" i="4"/>
  <c r="S54" i="4"/>
  <c r="T54" i="4"/>
  <c r="U54" i="4"/>
  <c r="V54" i="4"/>
  <c r="W54" i="4"/>
  <c r="X54" i="4"/>
  <c r="Y54" i="4"/>
  <c r="Z54" i="4"/>
  <c r="AA54" i="4"/>
  <c r="Q55" i="4"/>
  <c r="R55" i="4"/>
  <c r="S55" i="4"/>
  <c r="T55" i="4"/>
  <c r="U55" i="4"/>
  <c r="V55" i="4"/>
  <c r="W55" i="4"/>
  <c r="X55" i="4"/>
  <c r="Y55" i="4"/>
  <c r="Z55" i="4"/>
  <c r="AA55" i="4"/>
  <c r="Q56" i="4"/>
  <c r="R56" i="4"/>
  <c r="S56" i="4"/>
  <c r="T56" i="4"/>
  <c r="U56" i="4"/>
  <c r="V56" i="4"/>
  <c r="W56" i="4"/>
  <c r="X56" i="4"/>
  <c r="Y56" i="4"/>
  <c r="Z56" i="4"/>
  <c r="AA56" i="4"/>
  <c r="Q57" i="4"/>
  <c r="R57" i="4"/>
  <c r="S57" i="4"/>
  <c r="T57" i="4"/>
  <c r="U57" i="4"/>
  <c r="V57" i="4"/>
  <c r="W57" i="4"/>
  <c r="X57" i="4"/>
  <c r="Y57" i="4"/>
  <c r="Z57" i="4"/>
  <c r="AA57" i="4"/>
  <c r="Q58" i="4"/>
  <c r="R58" i="4"/>
  <c r="S58" i="4"/>
  <c r="T58" i="4"/>
  <c r="U58" i="4"/>
  <c r="V58" i="4"/>
  <c r="W58" i="4"/>
  <c r="X58" i="4"/>
  <c r="Y58" i="4"/>
  <c r="Z58" i="4"/>
  <c r="AA58" i="4"/>
  <c r="Q59" i="4"/>
  <c r="R59" i="4"/>
  <c r="S59" i="4"/>
  <c r="T59" i="4"/>
  <c r="U59" i="4"/>
  <c r="V59" i="4"/>
  <c r="W59" i="4"/>
  <c r="X59" i="4"/>
  <c r="Y59" i="4"/>
  <c r="Z59" i="4"/>
  <c r="AA59" i="4"/>
  <c r="Q60" i="4"/>
  <c r="R60" i="4"/>
  <c r="S60" i="4"/>
  <c r="T60" i="4"/>
  <c r="U60" i="4"/>
  <c r="V60" i="4"/>
  <c r="W60" i="4"/>
  <c r="X60" i="4"/>
  <c r="Y60" i="4"/>
  <c r="Z60" i="4"/>
  <c r="AA60" i="4"/>
  <c r="Q61" i="4"/>
  <c r="R61" i="4"/>
  <c r="S61" i="4"/>
  <c r="T61" i="4"/>
  <c r="U61" i="4"/>
  <c r="V61" i="4"/>
  <c r="W61" i="4"/>
  <c r="X61" i="4"/>
  <c r="Y61" i="4"/>
  <c r="Z61" i="4"/>
  <c r="AA61" i="4"/>
  <c r="Q62" i="4"/>
  <c r="R62" i="4"/>
  <c r="S62" i="4"/>
  <c r="T62" i="4"/>
  <c r="U62" i="4"/>
  <c r="V62" i="4"/>
  <c r="W62" i="4"/>
  <c r="X62" i="4"/>
  <c r="Y62" i="4"/>
  <c r="Z62" i="4"/>
  <c r="AA62" i="4"/>
  <c r="Q63" i="4"/>
  <c r="R63" i="4"/>
  <c r="S63" i="4"/>
  <c r="T63" i="4"/>
  <c r="U63" i="4"/>
  <c r="V63" i="4"/>
  <c r="W63" i="4"/>
  <c r="X63" i="4"/>
  <c r="Y63" i="4"/>
  <c r="Z63" i="4"/>
  <c r="AA63" i="4"/>
  <c r="Q64" i="4"/>
  <c r="R64" i="4"/>
  <c r="S64" i="4"/>
  <c r="T64" i="4"/>
  <c r="U64" i="4"/>
  <c r="V64" i="4"/>
  <c r="W64" i="4"/>
  <c r="X64" i="4"/>
  <c r="Y64" i="4"/>
  <c r="Z64" i="4"/>
  <c r="AA64" i="4"/>
  <c r="Q65" i="4"/>
  <c r="R65" i="4"/>
  <c r="S65" i="4"/>
  <c r="T65" i="4"/>
  <c r="U65" i="4"/>
  <c r="V65" i="4"/>
  <c r="W65" i="4"/>
  <c r="X65" i="4"/>
  <c r="Y65" i="4"/>
  <c r="Z65" i="4"/>
  <c r="AA65" i="4"/>
  <c r="R66" i="4"/>
  <c r="S66" i="4"/>
  <c r="T66" i="4"/>
  <c r="U66" i="4"/>
  <c r="V66" i="4"/>
  <c r="W66" i="4"/>
  <c r="X66" i="4"/>
  <c r="Y66" i="4"/>
  <c r="Z66" i="4"/>
  <c r="AA66" i="4"/>
  <c r="R67" i="4"/>
  <c r="S67" i="4"/>
  <c r="T67" i="4"/>
  <c r="U67" i="4"/>
  <c r="V67" i="4"/>
  <c r="W67" i="4"/>
  <c r="X67" i="4"/>
  <c r="Y67" i="4"/>
  <c r="Z67" i="4"/>
  <c r="AA67" i="4"/>
  <c r="Q68" i="4"/>
  <c r="R68" i="4"/>
  <c r="S68" i="4"/>
  <c r="T68" i="4"/>
  <c r="U68" i="4"/>
  <c r="V68" i="4"/>
  <c r="W68" i="4"/>
  <c r="X68" i="4"/>
  <c r="Y68" i="4"/>
  <c r="Z68" i="4"/>
  <c r="AA68" i="4"/>
  <c r="R49" i="4"/>
  <c r="S49" i="4"/>
  <c r="T49" i="4"/>
  <c r="U49" i="4"/>
  <c r="V49" i="4"/>
  <c r="W49" i="4"/>
  <c r="X49" i="4"/>
  <c r="Y49" i="4"/>
  <c r="Z49" i="4"/>
  <c r="AA49" i="4"/>
  <c r="Q49" i="4"/>
  <c r="D37" i="9"/>
  <c r="D36" i="9"/>
  <c r="D35" i="9"/>
  <c r="D33" i="9"/>
  <c r="D32" i="9"/>
  <c r="D31" i="9"/>
  <c r="D29" i="9"/>
  <c r="D28" i="9"/>
  <c r="D27" i="9"/>
  <c r="D13" i="9"/>
  <c r="D14" i="8" s="1"/>
  <c r="D12" i="9"/>
  <c r="D13" i="8" s="1"/>
  <c r="D8" i="9"/>
  <c r="D9" i="8" s="1"/>
  <c r="D4" i="9"/>
  <c r="D5" i="8" s="1"/>
  <c r="D5" i="9"/>
  <c r="D6" i="8" s="1"/>
  <c r="E17" i="5"/>
  <c r="F17" i="5" s="1"/>
  <c r="E18" i="5"/>
  <c r="F18" i="5" s="1"/>
  <c r="E19" i="5"/>
  <c r="F19" i="5" s="1"/>
  <c r="E20" i="5"/>
  <c r="F20" i="5" s="1"/>
  <c r="E21" i="5"/>
  <c r="F21" i="5" s="1"/>
  <c r="E22" i="5"/>
  <c r="E23" i="5"/>
  <c r="F23" i="5" s="1"/>
  <c r="E24" i="5"/>
  <c r="F24" i="5" s="1"/>
  <c r="E25" i="5"/>
  <c r="E26" i="5"/>
  <c r="F26" i="5" s="1"/>
  <c r="E27" i="5"/>
  <c r="F27" i="5" s="1"/>
  <c r="E16" i="5"/>
  <c r="F16" i="5" s="1"/>
  <c r="C16" i="5"/>
  <c r="C17" i="5"/>
  <c r="C18" i="5"/>
  <c r="C19" i="5"/>
  <c r="C20" i="5"/>
  <c r="C21" i="5"/>
  <c r="C22" i="5"/>
  <c r="C23" i="5"/>
  <c r="C24" i="5"/>
  <c r="D24" i="5" s="1"/>
  <c r="I12" i="8" s="1"/>
  <c r="C25" i="5"/>
  <c r="D25" i="5" s="1"/>
  <c r="I13" i="8" s="1"/>
  <c r="C26" i="5"/>
  <c r="D26" i="5" s="1"/>
  <c r="I14" i="8" s="1"/>
  <c r="C27" i="5"/>
  <c r="D27" i="5" s="1"/>
  <c r="I15" i="8" s="1"/>
  <c r="F25" i="5"/>
  <c r="F22" i="5"/>
  <c r="E12" i="5"/>
  <c r="E13" i="5"/>
  <c r="E11" i="5"/>
  <c r="E9" i="5"/>
  <c r="E10" i="5"/>
  <c r="E8" i="5"/>
  <c r="E3" i="5"/>
  <c r="E4" i="5"/>
  <c r="E2" i="5"/>
  <c r="E6" i="5"/>
  <c r="E7" i="5"/>
  <c r="E5" i="5"/>
  <c r="C3" i="5"/>
  <c r="C4" i="5"/>
  <c r="C2" i="5"/>
  <c r="C12" i="5"/>
  <c r="C13" i="5"/>
  <c r="C11" i="5"/>
  <c r="C9" i="5"/>
  <c r="C10" i="5"/>
  <c r="C8" i="5"/>
  <c r="C6" i="5"/>
  <c r="C7" i="5"/>
  <c r="C5" i="5"/>
  <c r="E22" i="9" l="1"/>
  <c r="E10" i="9"/>
  <c r="E21" i="9"/>
  <c r="E9" i="9"/>
  <c r="J13" i="9"/>
  <c r="E14" i="8" s="1"/>
  <c r="E14" i="9"/>
  <c r="E6" i="9"/>
  <c r="K14" i="9"/>
  <c r="E3" i="9"/>
  <c r="E19" i="9"/>
  <c r="E15" i="9"/>
  <c r="E11" i="9"/>
  <c r="E7" i="9"/>
  <c r="K10" i="9"/>
  <c r="K6" i="9"/>
  <c r="D15" i="8"/>
  <c r="Q15" i="8" s="1"/>
  <c r="D7" i="8"/>
  <c r="D2" i="5"/>
  <c r="C4" i="8" s="1"/>
  <c r="D3" i="5"/>
  <c r="C5" i="8" s="1"/>
  <c r="D4" i="5"/>
  <c r="C6" i="8" s="1"/>
  <c r="D5" i="5"/>
  <c r="C7" i="8" s="1"/>
  <c r="D6" i="5"/>
  <c r="C8" i="8" s="1"/>
  <c r="D7" i="5"/>
  <c r="C9" i="8" s="1"/>
  <c r="D8" i="5"/>
  <c r="C10" i="8" s="1"/>
  <c r="D9" i="5"/>
  <c r="C11" i="8" s="1"/>
  <c r="D10" i="5"/>
  <c r="C12" i="8" s="1"/>
  <c r="D11" i="5"/>
  <c r="C13" i="8" s="1"/>
  <c r="D12" i="5"/>
  <c r="C14" i="8" s="1"/>
  <c r="D13" i="5"/>
  <c r="C15" i="8" s="1"/>
  <c r="F3" i="5"/>
  <c r="F4" i="5"/>
  <c r="F5" i="5"/>
  <c r="F6" i="5"/>
  <c r="F7" i="5"/>
  <c r="F8" i="5"/>
  <c r="F9" i="5"/>
  <c r="F10" i="5"/>
  <c r="F11" i="5"/>
  <c r="F12" i="5"/>
  <c r="F13" i="5"/>
  <c r="F2" i="5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D23" i="5"/>
  <c r="I11" i="8" s="1"/>
  <c r="D22" i="5"/>
  <c r="I10" i="8" s="1"/>
  <c r="D21" i="5"/>
  <c r="I9" i="8" s="1"/>
  <c r="D20" i="5"/>
  <c r="D19" i="5"/>
  <c r="D18" i="5"/>
  <c r="I6" i="8" s="1"/>
  <c r="D17" i="5"/>
  <c r="I5" i="8" s="1"/>
  <c r="D16" i="5"/>
  <c r="I4" i="8" s="1"/>
  <c r="J5" i="8" s="1"/>
  <c r="Q6" i="8"/>
  <c r="Q7" i="8"/>
  <c r="Q8" i="8"/>
  <c r="Q9" i="8"/>
  <c r="Q10" i="8"/>
  <c r="Q11" i="8"/>
  <c r="Q12" i="8"/>
  <c r="Q13" i="8"/>
  <c r="Q14" i="8"/>
  <c r="Q4" i="8"/>
  <c r="C21" i="8"/>
  <c r="F21" i="8" s="1"/>
  <c r="C22" i="8"/>
  <c r="F22" i="8" s="1"/>
  <c r="C23" i="8"/>
  <c r="F23" i="8" s="1"/>
  <c r="C24" i="8"/>
  <c r="F24" i="8" s="1"/>
  <c r="C25" i="8"/>
  <c r="F25" i="8" s="1"/>
  <c r="C26" i="8"/>
  <c r="F26" i="8" s="1"/>
  <c r="C27" i="8"/>
  <c r="F27" i="8" s="1"/>
  <c r="C28" i="8"/>
  <c r="F28" i="8" s="1"/>
  <c r="C29" i="8"/>
  <c r="F29" i="8" s="1"/>
  <c r="C30" i="8"/>
  <c r="F30" i="8" s="1"/>
  <c r="C31" i="8"/>
  <c r="F31" i="8" s="1"/>
  <c r="C20" i="8"/>
  <c r="F20" i="8" s="1"/>
  <c r="L3" i="1"/>
  <c r="C2" i="1"/>
  <c r="E21" i="1"/>
  <c r="B23" i="1"/>
  <c r="E23" i="1"/>
  <c r="E22" i="1"/>
  <c r="D21" i="1"/>
  <c r="B24" i="1" s="1"/>
  <c r="I11" i="13" l="1"/>
  <c r="I8" i="8"/>
  <c r="G26" i="8" s="1"/>
  <c r="H26" i="8" s="1"/>
  <c r="I26" i="8" s="1"/>
  <c r="J26" i="8" s="1"/>
  <c r="G31" i="8"/>
  <c r="H31" i="8" s="1"/>
  <c r="I7" i="8"/>
  <c r="Q5" i="8"/>
  <c r="I5" i="13"/>
  <c r="I14" i="13"/>
  <c r="K5" i="8"/>
  <c r="C11" i="13"/>
  <c r="F11" i="13" s="1"/>
  <c r="C12" i="13"/>
  <c r="F12" i="13" s="1"/>
  <c r="C15" i="13"/>
  <c r="F15" i="13" s="1"/>
  <c r="I15" i="13"/>
  <c r="I8" i="13"/>
  <c r="J14" i="8"/>
  <c r="K14" i="8" s="1"/>
  <c r="J15" i="8"/>
  <c r="K15" i="8" s="1"/>
  <c r="J13" i="8"/>
  <c r="K13" i="8" s="1"/>
  <c r="I12" i="13"/>
  <c r="I10" i="13" s="1"/>
  <c r="C10" i="13"/>
  <c r="F10" i="13" s="1"/>
  <c r="C13" i="13"/>
  <c r="F13" i="13" s="1"/>
  <c r="C14" i="13"/>
  <c r="F14" i="13" s="1"/>
  <c r="C4" i="13"/>
  <c r="F4" i="13" s="1"/>
  <c r="C5" i="13"/>
  <c r="F5" i="13" s="1"/>
  <c r="I6" i="13"/>
  <c r="C6" i="13"/>
  <c r="F6" i="13" s="1"/>
  <c r="C7" i="13"/>
  <c r="F7" i="13" s="1"/>
  <c r="C8" i="13"/>
  <c r="F8" i="13" s="1"/>
  <c r="C9" i="13"/>
  <c r="F9" i="13" s="1"/>
  <c r="I9" i="13"/>
  <c r="G24" i="8"/>
  <c r="H24" i="8" s="1"/>
  <c r="G22" i="8"/>
  <c r="H22" i="8" s="1"/>
  <c r="G20" i="8"/>
  <c r="H20" i="8" s="1"/>
  <c r="I20" i="8" s="1"/>
  <c r="J20" i="8" s="1"/>
  <c r="G21" i="8"/>
  <c r="H21" i="8" s="1"/>
  <c r="G30" i="8"/>
  <c r="H30" i="8" s="1"/>
  <c r="G23" i="8"/>
  <c r="H23" i="8" s="1"/>
  <c r="I23" i="8" s="1"/>
  <c r="J23" i="8" s="1"/>
  <c r="G25" i="8"/>
  <c r="H25" i="8" s="1"/>
  <c r="G29" i="8"/>
  <c r="H29" i="8" s="1"/>
  <c r="I29" i="8" s="1"/>
  <c r="J29" i="8" s="1"/>
  <c r="B22" i="1"/>
  <c r="Q33" i="1"/>
  <c r="Q32" i="1"/>
  <c r="Q31" i="1"/>
  <c r="A38" i="1"/>
  <c r="A37" i="1"/>
  <c r="A36" i="1"/>
  <c r="P33" i="1"/>
  <c r="I33" i="1"/>
  <c r="P32" i="1"/>
  <c r="I32" i="1"/>
  <c r="D33" i="1"/>
  <c r="C33" i="1"/>
  <c r="P31" i="1"/>
  <c r="I31" i="1"/>
  <c r="D32" i="1"/>
  <c r="C32" i="1"/>
  <c r="D31" i="1"/>
  <c r="C31" i="1"/>
  <c r="D30" i="1"/>
  <c r="C30" i="1"/>
  <c r="D29" i="1"/>
  <c r="C29" i="1"/>
  <c r="I26" i="1"/>
  <c r="I25" i="1"/>
  <c r="I24" i="1"/>
  <c r="I19" i="1"/>
  <c r="I18" i="1"/>
  <c r="I17" i="1"/>
  <c r="C18" i="1"/>
  <c r="C17" i="1"/>
  <c r="C16" i="1"/>
  <c r="C15" i="1"/>
  <c r="C14" i="1"/>
  <c r="I12" i="1"/>
  <c r="I11" i="1"/>
  <c r="I10" i="1"/>
  <c r="E10" i="1"/>
  <c r="D10" i="1"/>
  <c r="J5" i="1" s="1"/>
  <c r="O5" i="1" s="1"/>
  <c r="E9" i="1"/>
  <c r="D9" i="1"/>
  <c r="E8" i="1"/>
  <c r="D8" i="1"/>
  <c r="K3" i="1" s="1"/>
  <c r="I5" i="1"/>
  <c r="I4" i="1"/>
  <c r="I3" i="1"/>
  <c r="G28" i="8" l="1"/>
  <c r="H28" i="8" s="1"/>
  <c r="J12" i="8"/>
  <c r="K12" i="8" s="1"/>
  <c r="J4" i="8"/>
  <c r="K4" i="8" s="1"/>
  <c r="J6" i="8"/>
  <c r="K6" i="8" s="1"/>
  <c r="I4" i="13"/>
  <c r="J6" i="13" s="1"/>
  <c r="K6" i="13" s="1"/>
  <c r="I13" i="13"/>
  <c r="I7" i="13"/>
  <c r="G27" i="8"/>
  <c r="H27" i="8" s="1"/>
  <c r="I27" i="8" s="1"/>
  <c r="J27" i="8" s="1"/>
  <c r="I21" i="8"/>
  <c r="J21" i="8" s="1"/>
  <c r="I25" i="8"/>
  <c r="J25" i="8" s="1"/>
  <c r="I30" i="8"/>
  <c r="J30" i="8" s="1"/>
  <c r="I31" i="8"/>
  <c r="J31" i="8" s="1"/>
  <c r="I22" i="8"/>
  <c r="J22" i="8" s="1"/>
  <c r="I24" i="8"/>
  <c r="J24" i="8" s="1"/>
  <c r="T31" i="1"/>
  <c r="C25" i="1"/>
  <c r="T33" i="1"/>
  <c r="P34" i="1"/>
  <c r="F10" i="1"/>
  <c r="B37" i="1"/>
  <c r="Q34" i="1"/>
  <c r="F8" i="1"/>
  <c r="B36" i="1"/>
  <c r="T32" i="1"/>
  <c r="M3" i="1"/>
  <c r="K4" i="1" s="1"/>
  <c r="B38" i="1"/>
  <c r="J4" i="1"/>
  <c r="O4" i="1" s="1"/>
  <c r="F9" i="1"/>
  <c r="J3" i="1"/>
  <c r="O3" i="1" s="1"/>
  <c r="J11" i="8" l="1"/>
  <c r="K11" i="8" s="1"/>
  <c r="J10" i="8"/>
  <c r="K10" i="8" s="1"/>
  <c r="I28" i="8"/>
  <c r="J28" i="8" s="1"/>
  <c r="J15" i="13"/>
  <c r="K15" i="13" s="1"/>
  <c r="J11" i="13"/>
  <c r="K11" i="13" s="1"/>
  <c r="J12" i="13"/>
  <c r="K12" i="13" s="1"/>
  <c r="J10" i="13"/>
  <c r="K10" i="13" s="1"/>
  <c r="J14" i="13"/>
  <c r="K14" i="13" s="1"/>
  <c r="J13" i="13"/>
  <c r="K13" i="13" s="1"/>
  <c r="J8" i="13"/>
  <c r="K8" i="13" s="1"/>
  <c r="J7" i="13"/>
  <c r="K7" i="13" s="1"/>
  <c r="J9" i="13"/>
  <c r="K9" i="13" s="1"/>
  <c r="J5" i="13"/>
  <c r="K5" i="13" s="1"/>
  <c r="J4" i="13"/>
  <c r="K4" i="13" s="1"/>
  <c r="J7" i="8"/>
  <c r="K7" i="8" s="1"/>
  <c r="J8" i="8"/>
  <c r="K8" i="8" s="1"/>
  <c r="J9" i="8"/>
  <c r="K9" i="8" s="1"/>
  <c r="J6" i="1"/>
  <c r="O6" i="1"/>
  <c r="L4" i="1"/>
  <c r="M4" i="1" s="1"/>
  <c r="K5" i="1" s="1"/>
  <c r="K17" i="1"/>
  <c r="N3" i="1"/>
  <c r="S3" i="1" s="1"/>
  <c r="K10" i="1"/>
  <c r="L11" i="13" l="1"/>
  <c r="M11" i="13" s="1"/>
  <c r="N11" i="13" s="1"/>
  <c r="L12" i="13"/>
  <c r="M12" i="13" s="1"/>
  <c r="N12" i="13" s="1"/>
  <c r="L6" i="13"/>
  <c r="M6" i="13" s="1"/>
  <c r="N6" i="13" s="1"/>
  <c r="L13" i="13"/>
  <c r="M13" i="13" s="1"/>
  <c r="N13" i="13" s="1"/>
  <c r="L9" i="13"/>
  <c r="M9" i="13" s="1"/>
  <c r="N9" i="13" s="1"/>
  <c r="L10" i="13"/>
  <c r="M10" i="13" s="1"/>
  <c r="N10" i="13" s="1"/>
  <c r="L15" i="13"/>
  <c r="M15" i="13" s="1"/>
  <c r="N15" i="13" s="1"/>
  <c r="L14" i="13"/>
  <c r="M14" i="13" s="1"/>
  <c r="N14" i="13" s="1"/>
  <c r="L5" i="13"/>
  <c r="M5" i="13" s="1"/>
  <c r="N5" i="13" s="1"/>
  <c r="L4" i="13"/>
  <c r="M4" i="13" s="1"/>
  <c r="N4" i="13" s="1"/>
  <c r="L8" i="13"/>
  <c r="M8" i="13" s="1"/>
  <c r="N8" i="13" s="1"/>
  <c r="L7" i="13"/>
  <c r="M7" i="13" s="1"/>
  <c r="N7" i="13" s="1"/>
  <c r="R5" i="1"/>
  <c r="P5" i="1"/>
  <c r="R4" i="1"/>
  <c r="L5" i="1"/>
  <c r="M5" i="1" s="1"/>
  <c r="K6" i="1"/>
  <c r="L10" i="1"/>
  <c r="N10" i="1" s="1"/>
  <c r="J17" i="1"/>
  <c r="J10" i="1"/>
  <c r="L17" i="1"/>
  <c r="N17" i="1" s="1"/>
  <c r="N4" i="1"/>
  <c r="S4" i="1" s="1"/>
  <c r="S10" i="1" l="1"/>
  <c r="O10" i="1"/>
  <c r="O17" i="1"/>
  <c r="S17" i="1"/>
  <c r="R3" i="1"/>
  <c r="R6" i="1" s="1"/>
  <c r="P3" i="1"/>
  <c r="Q5" i="1"/>
  <c r="P4" i="1"/>
  <c r="N5" i="1"/>
  <c r="K24" i="1"/>
  <c r="M10" i="1"/>
  <c r="K11" i="1" s="1"/>
  <c r="M17" i="1"/>
  <c r="K18" i="1" s="1"/>
  <c r="J18" i="1"/>
  <c r="J11" i="1"/>
  <c r="N6" i="1" l="1"/>
  <c r="S5" i="1"/>
  <c r="O18" i="1"/>
  <c r="S18" i="1"/>
  <c r="O11" i="1"/>
  <c r="S11" i="1"/>
  <c r="Q3" i="1"/>
  <c r="P6" i="1"/>
  <c r="J24" i="1"/>
  <c r="Q4" i="1"/>
  <c r="J19" i="1"/>
  <c r="J20" i="1" s="1"/>
  <c r="J12" i="1"/>
  <c r="J13" i="1" s="1"/>
  <c r="L18" i="1"/>
  <c r="N18" i="1" s="1"/>
  <c r="L11" i="1"/>
  <c r="M11" i="1" s="1"/>
  <c r="K12" i="1" s="1"/>
  <c r="L24" i="1"/>
  <c r="M24" i="1" s="1"/>
  <c r="S24" i="1" l="1"/>
  <c r="R10" i="1"/>
  <c r="O12" i="1"/>
  <c r="O13" i="1" s="1"/>
  <c r="S12" i="1"/>
  <c r="O19" i="1"/>
  <c r="O20" i="1" s="1"/>
  <c r="S19" i="1"/>
  <c r="R17" i="1"/>
  <c r="O24" i="1"/>
  <c r="Q6" i="1"/>
  <c r="L12" i="1"/>
  <c r="K13" i="1"/>
  <c r="M18" i="1"/>
  <c r="K19" i="1" s="1"/>
  <c r="K31" i="1"/>
  <c r="N24" i="1"/>
  <c r="N11" i="1"/>
  <c r="K25" i="1"/>
  <c r="R11" i="1" l="1"/>
  <c r="Q10" i="1"/>
  <c r="R18" i="1"/>
  <c r="P17" i="1"/>
  <c r="J25" i="1"/>
  <c r="N12" i="1"/>
  <c r="J26" i="1" s="1"/>
  <c r="S26" i="1" s="1"/>
  <c r="M12" i="1"/>
  <c r="L25" i="1"/>
  <c r="M25" i="1" s="1"/>
  <c r="K26" i="1" s="1"/>
  <c r="J31" i="1"/>
  <c r="L19" i="1"/>
  <c r="N19" i="1" s="1"/>
  <c r="N20" i="1" s="1"/>
  <c r="K20" i="1"/>
  <c r="P10" i="1" l="1"/>
  <c r="S25" i="1"/>
  <c r="J27" i="1"/>
  <c r="V31" i="1"/>
  <c r="P11" i="1"/>
  <c r="R19" i="1"/>
  <c r="R20" i="1" s="1"/>
  <c r="Q18" i="1"/>
  <c r="R12" i="1"/>
  <c r="R13" i="1" s="1"/>
  <c r="O25" i="1"/>
  <c r="O26" i="1"/>
  <c r="Q17" i="1"/>
  <c r="R24" i="1"/>
  <c r="N13" i="1"/>
  <c r="L26" i="1"/>
  <c r="K27" i="1"/>
  <c r="N25" i="1"/>
  <c r="K32" i="1"/>
  <c r="M19" i="1"/>
  <c r="Q11" i="1" l="1"/>
  <c r="P19" i="1"/>
  <c r="P18" i="1"/>
  <c r="Q12" i="1"/>
  <c r="Q13" i="1" s="1"/>
  <c r="O27" i="1"/>
  <c r="N26" i="1"/>
  <c r="N27" i="1" s="1"/>
  <c r="K33" i="1"/>
  <c r="K34" i="1" s="1"/>
  <c r="J32" i="1"/>
  <c r="M26" i="1"/>
  <c r="Q24" i="1" l="1"/>
  <c r="P24" i="1"/>
  <c r="V32" i="1"/>
  <c r="Q19" i="1"/>
  <c r="Q20" i="1" s="1"/>
  <c r="P20" i="1"/>
  <c r="P12" i="1"/>
  <c r="P13" i="1" s="1"/>
  <c r="R25" i="1"/>
  <c r="R26" i="1"/>
  <c r="R31" i="1"/>
  <c r="S36" i="1" s="1"/>
  <c r="J33" i="1"/>
  <c r="V33" i="1" s="1"/>
  <c r="J34" i="1" l="1"/>
  <c r="R27" i="1"/>
  <c r="P25" i="1"/>
  <c r="P26" i="1"/>
  <c r="S31" i="1"/>
  <c r="O31" i="1" s="1"/>
  <c r="Q26" i="1" l="1"/>
  <c r="Q25" i="1"/>
  <c r="P27" i="1"/>
  <c r="L31" i="1"/>
  <c r="R32" i="1"/>
  <c r="Q27" i="1" l="1"/>
  <c r="N31" i="1"/>
  <c r="M31" i="1"/>
  <c r="U31" i="1" s="1"/>
  <c r="C36" i="1" s="1"/>
  <c r="S32" i="1"/>
  <c r="O32" i="1" s="1"/>
  <c r="R33" i="1"/>
  <c r="S33" i="1" s="1"/>
  <c r="R34" i="1" l="1"/>
  <c r="L32" i="1"/>
  <c r="O33" i="1"/>
  <c r="O34" i="1" s="1"/>
  <c r="L33" i="1"/>
  <c r="N32" i="1" l="1"/>
  <c r="M32" i="1"/>
  <c r="U32" i="1" s="1"/>
  <c r="C37" i="1" s="1"/>
  <c r="N33" i="1"/>
  <c r="M33" i="1"/>
  <c r="U33" i="1" s="1"/>
  <c r="C38" i="1" s="1"/>
  <c r="N34" i="1" l="1"/>
  <c r="M34" i="1"/>
  <c r="L4" i="8"/>
  <c r="M4" i="8" s="1"/>
  <c r="L10" i="8"/>
  <c r="M10" i="8" s="1"/>
  <c r="L13" i="8"/>
  <c r="M13" i="8" s="1"/>
  <c r="L9" i="8"/>
  <c r="M9" i="8" s="1"/>
  <c r="L7" i="8"/>
  <c r="M7" i="8" s="1"/>
  <c r="N10" i="8" l="1"/>
  <c r="N7" i="8"/>
  <c r="N4" i="8"/>
  <c r="N9" i="8"/>
  <c r="N13" i="8"/>
  <c r="L15" i="8"/>
  <c r="M15" i="8" s="1"/>
  <c r="L14" i="8"/>
  <c r="M14" i="8" s="1"/>
  <c r="L11" i="8"/>
  <c r="M11" i="8" s="1"/>
  <c r="L8" i="8"/>
  <c r="M8" i="8" s="1"/>
  <c r="L12" i="8"/>
  <c r="M12" i="8" s="1"/>
  <c r="L5" i="8"/>
  <c r="M5" i="8" s="1"/>
  <c r="L6" i="8"/>
  <c r="M6" i="8" s="1"/>
  <c r="N12" i="8" l="1"/>
  <c r="N5" i="8"/>
  <c r="N14" i="8"/>
  <c r="N15" i="8"/>
  <c r="N8" i="8"/>
  <c r="N6" i="8"/>
  <c r="N11" i="8"/>
</calcChain>
</file>

<file path=xl/sharedStrings.xml><?xml version="1.0" encoding="utf-8"?>
<sst xmlns="http://schemas.openxmlformats.org/spreadsheetml/2006/main" count="610" uniqueCount="136">
  <si>
    <t>Input</t>
  </si>
  <si>
    <t>Ingresso Stazione / Controllo Temperatura</t>
  </si>
  <si>
    <t># Serventi</t>
  </si>
  <si>
    <t>Fascia</t>
  </si>
  <si>
    <t>Tasso di Ingresso</t>
  </si>
  <si>
    <t>Job In Ingresso</t>
  </si>
  <si>
    <t>Job Smaltiti</t>
  </si>
  <si>
    <t>Job in Eccesso</t>
  </si>
  <si>
    <t>Utilizzazione</t>
  </si>
  <si>
    <t>E(Tq)</t>
  </si>
  <si>
    <t>E(Ts)</t>
  </si>
  <si>
    <t>Dati Fasce Orarie</t>
  </si>
  <si>
    <t>Ore Fascia</t>
  </si>
  <si>
    <t>Peso</t>
  </si>
  <si>
    <t>Num Pass Fascia</t>
  </si>
  <si>
    <t>Secondi Fascia</t>
  </si>
  <si>
    <t>LAMBDA</t>
  </si>
  <si>
    <t>05:00 - 08:00</t>
  </si>
  <si>
    <t>08:00 - 19:00</t>
  </si>
  <si>
    <t>Sportello Acquisto Biglietti</t>
  </si>
  <si>
    <t>19:00 - 00:00</t>
  </si>
  <si>
    <t>Servizi</t>
  </si>
  <si>
    <t>Tempi di Servizio</t>
  </si>
  <si>
    <t>Tasso di Servizio</t>
  </si>
  <si>
    <t>Controllo Temperatura</t>
  </si>
  <si>
    <t>Acquisto Biglietto</t>
  </si>
  <si>
    <t>Verifica Abbonamento</t>
  </si>
  <si>
    <t>Gate Abbonamenti</t>
  </si>
  <si>
    <t>Verifica Biglietto</t>
  </si>
  <si>
    <t>Controllo Green Pass</t>
  </si>
  <si>
    <t>Probabilità</t>
  </si>
  <si>
    <t>Febbre</t>
  </si>
  <si>
    <t>Senza Biglietto</t>
  </si>
  <si>
    <t>Con Biglietto Online</t>
  </si>
  <si>
    <t>Gate Biglietti</t>
  </si>
  <si>
    <t>Con Abbonamento</t>
  </si>
  <si>
    <t>Green Pass Non Valido</t>
  </si>
  <si>
    <t>Costo Manutenimento Giornaliero</t>
  </si>
  <si>
    <t>Oggetto</t>
  </si>
  <si>
    <t>Costo Singolo Mensile</t>
  </si>
  <si>
    <t>Costo Singolo al Sec.</t>
  </si>
  <si>
    <t>Costo Giornaliero</t>
  </si>
  <si>
    <t>Scanner Temperatura</t>
  </si>
  <si>
    <t>Macchina Stampa Biglietto</t>
  </si>
  <si>
    <t>Macchina Verifica Abbonamento</t>
  </si>
  <si>
    <t>Job Bypassed</t>
  </si>
  <si>
    <t>PLOSS</t>
  </si>
  <si>
    <t>LAMBDA REAL</t>
  </si>
  <si>
    <t>Workload Max</t>
  </si>
  <si>
    <t>Dipendente Verifica Biglietto</t>
  </si>
  <si>
    <t>Dipendente Controllo Green Pass</t>
  </si>
  <si>
    <t>E(S)</t>
  </si>
  <si>
    <t>E(Nq)</t>
  </si>
  <si>
    <t>Real Serv</t>
  </si>
  <si>
    <t>Visite</t>
  </si>
  <si>
    <t>Throughput</t>
  </si>
  <si>
    <t>Tempi Risposta</t>
  </si>
  <si>
    <t>Perc in salute</t>
  </si>
  <si>
    <t>Abbonati / Biglietto</t>
  </si>
  <si>
    <t>Online / Buy</t>
  </si>
  <si>
    <t>Costi (indicativi)</t>
  </si>
  <si>
    <t>Pazienti Giornalieri</t>
  </si>
  <si>
    <t>Organi Giornalieri</t>
  </si>
  <si>
    <t>Trapianti Giornalieri</t>
  </si>
  <si>
    <t>All ABO</t>
  </si>
  <si>
    <t>O</t>
  </si>
  <si>
    <t>A</t>
  </si>
  <si>
    <t>B</t>
  </si>
  <si>
    <t>AB</t>
  </si>
  <si>
    <t>All Types</t>
  </si>
  <si>
    <t>Critical</t>
  </si>
  <si>
    <t>Normal</t>
  </si>
  <si>
    <t>Low</t>
  </si>
  <si>
    <t>Organi</t>
  </si>
  <si>
    <t>2016</t>
  </si>
  <si>
    <t>2015</t>
  </si>
  <si>
    <t>2014</t>
  </si>
  <si>
    <t>2013</t>
  </si>
  <si>
    <t>2012</t>
  </si>
  <si>
    <t>2011</t>
  </si>
  <si>
    <t>Pazienti</t>
  </si>
  <si>
    <t>Priorità</t>
  </si>
  <si>
    <t>Lambda-Pazienti</t>
  </si>
  <si>
    <t>Lambda - Organi</t>
  </si>
  <si>
    <t>ABO</t>
  </si>
  <si>
    <t>Matching center - ABO Identical</t>
  </si>
  <si>
    <t>E(Ns)</t>
  </si>
  <si>
    <t>TRAPIANTI</t>
  </si>
  <si>
    <t>Transplant center</t>
  </si>
  <si>
    <t>Tasso di trapianto</t>
  </si>
  <si>
    <t>Tasso di successo</t>
  </si>
  <si>
    <t>Tasso di rigetto</t>
  </si>
  <si>
    <t>Tasso di arrivo</t>
  </si>
  <si>
    <t>Tasso di morte</t>
  </si>
  <si>
    <t>Tasso di renege</t>
  </si>
  <si>
    <t>Tasso di arrivo (tot)</t>
  </si>
  <si>
    <t>Tasso di arrivo (eff)</t>
  </si>
  <si>
    <t>K</t>
  </si>
  <si>
    <t>Tot</t>
  </si>
  <si>
    <t>All Donor Types</t>
  </si>
  <si>
    <t>Deceased Donor</t>
  </si>
  <si>
    <t>Living Donor</t>
  </si>
  <si>
    <t>Tipo</t>
  </si>
  <si>
    <t>Deceased</t>
  </si>
  <si>
    <t>Living</t>
  </si>
  <si>
    <t>All</t>
  </si>
  <si>
    <t>Matching center - ABO Compatible</t>
  </si>
  <si>
    <t>Tasso d'ingresso totale</t>
  </si>
  <si>
    <t>Donor type</t>
  </si>
  <si>
    <t>2019</t>
  </si>
  <si>
    <t>2018</t>
  </si>
  <si>
    <t>2017</t>
  </si>
  <si>
    <t>2010</t>
  </si>
  <si>
    <t>2009</t>
  </si>
  <si>
    <t>Priority</t>
  </si>
  <si>
    <t>PAZIENTI - ARRIVI</t>
  </si>
  <si>
    <t>ORGANI - ARRIVI</t>
  </si>
  <si>
    <t>PAZIENTI - DECESSI</t>
  </si>
  <si>
    <t>PAZIENTI - ABBANDONI (TOT)</t>
  </si>
  <si>
    <t>p/anno (2009-2013)</t>
  </si>
  <si>
    <t>p/anno (2014-2019)</t>
  </si>
  <si>
    <t>p/giorno (2009-2013)</t>
  </si>
  <si>
    <t>p/giorno (2014-2019)</t>
  </si>
  <si>
    <t>o/anno (2014-2019)</t>
  </si>
  <si>
    <t>o/giorno (2014-2019)</t>
  </si>
  <si>
    <t>o/anno (2009-2013)</t>
  </si>
  <si>
    <t>o/giorno (2009-2013)</t>
  </si>
  <si>
    <t>d/anno</t>
  </si>
  <si>
    <t>d/giorno</t>
  </si>
  <si>
    <t>PAZIENTI - ABBANDONI</t>
  </si>
  <si>
    <t>PAZIENTI - TRAPIANTI</t>
  </si>
  <si>
    <t>r/anno</t>
  </si>
  <si>
    <t>r/giorno</t>
  </si>
  <si>
    <t>t/anno</t>
  </si>
  <si>
    <t>t/giorno</t>
  </si>
  <si>
    <t>P(Bt AND 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</si>
</sst>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"/>
    <numFmt numFmtId="166" formatCode="0.0000"/>
  </numFmts>
  <fonts count="1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000000"/>
      <name val="Liberation Sans"/>
      <charset val="1"/>
    </font>
    <font>
      <sz val="11"/>
      <color rgb="FF000000"/>
      <name val="Calibri"/>
      <family val="2"/>
    </font>
    <font>
      <b/>
      <sz val="10"/>
      <color theme="1"/>
      <name val="Liberation Sans"/>
      <charset val="1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Liberation Sans"/>
    </font>
    <font>
      <sz val="8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3" borderId="2" xfId="0" applyFont="1" applyFill="1" applyBorder="1"/>
    <xf numFmtId="0" fontId="0" fillId="3" borderId="3" xfId="0" applyFill="1" applyBorder="1" applyAlignment="1">
      <alignment horizontal="center"/>
    </xf>
    <xf numFmtId="0" fontId="1" fillId="0" borderId="4" xfId="0" applyFont="1" applyBorder="1"/>
    <xf numFmtId="0" fontId="0" fillId="0" borderId="7" xfId="0" applyBorder="1" applyAlignment="1">
      <alignment horizontal="center"/>
    </xf>
    <xf numFmtId="0" fontId="1" fillId="0" borderId="5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4" xfId="0" applyFont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/>
    <xf numFmtId="0" fontId="0" fillId="0" borderId="4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1" fillId="3" borderId="8" xfId="0" applyFont="1" applyFill="1" applyBorder="1"/>
    <xf numFmtId="0" fontId="0" fillId="3" borderId="8" xfId="0" applyFill="1" applyBorder="1" applyAlignment="1">
      <alignment horizontal="center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3" borderId="10" xfId="0" applyFont="1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2" fillId="0" borderId="0" xfId="0" applyFont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1" xfId="0" applyBorder="1"/>
    <xf numFmtId="0" fontId="0" fillId="0" borderId="13" xfId="0" applyBorder="1"/>
    <xf numFmtId="0" fontId="0" fillId="0" borderId="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0" fillId="0" borderId="20" xfId="0" applyNumberFormat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1" fillId="11" borderId="1" xfId="0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2" borderId="0" xfId="0" applyFill="1"/>
    <xf numFmtId="0" fontId="1" fillId="11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164" fontId="0" fillId="0" borderId="20" xfId="0" applyNumberFormat="1" applyBorder="1"/>
    <xf numFmtId="164" fontId="0" fillId="0" borderId="0" xfId="0" applyNumberFormat="1" applyAlignment="1">
      <alignment horizontal="center"/>
    </xf>
    <xf numFmtId="0" fontId="6" fillId="6" borderId="21" xfId="0" applyFon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1" xfId="0" applyNumberFormat="1" applyBorder="1"/>
    <xf numFmtId="0" fontId="0" fillId="0" borderId="21" xfId="0" applyBorder="1"/>
    <xf numFmtId="0" fontId="3" fillId="11" borderId="18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0" fillId="0" borderId="0" xfId="0" applyNumberFormat="1"/>
    <xf numFmtId="0" fontId="8" fillId="13" borderId="1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1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/>
    <xf numFmtId="0" fontId="11" fillId="10" borderId="20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0" fillId="15" borderId="0" xfId="0" applyFont="1" applyFill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9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/>
    <xf numFmtId="0" fontId="3" fillId="16" borderId="0" xfId="0" applyFont="1" applyFill="1" applyAlignment="1">
      <alignment horizontal="center"/>
    </xf>
    <xf numFmtId="166" fontId="10" fillId="0" borderId="0" xfId="0" applyNumberFormat="1" applyFont="1"/>
    <xf numFmtId="0" fontId="9" fillId="12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/>
    <xf numFmtId="165" fontId="10" fillId="0" borderId="0" xfId="0" applyNumberFormat="1" applyFont="1" applyBorder="1"/>
    <xf numFmtId="0" fontId="9" fillId="12" borderId="22" xfId="0" applyFont="1" applyFill="1" applyBorder="1" applyAlignment="1">
      <alignment horizontal="center"/>
    </xf>
    <xf numFmtId="166" fontId="10" fillId="0" borderId="0" xfId="0" applyNumberFormat="1" applyFont="1" applyBorder="1"/>
  </cellXfs>
  <cellStyles count="1">
    <cellStyle name="Normale" xfId="0" builtinId="0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Stile tabella 1" pivot="0" count="2" xr9:uid="{BF85A88F-A7FF-4D1C-A4F7-27B4F7D53083}">
      <tableStyleElement type="firstRowStripe" dxfId="72"/>
      <tableStyleElement type="secondRowStripe" dxfId="7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3</xdr:col>
      <xdr:colOff>66675</xdr:colOff>
      <xdr:row>5</xdr:row>
      <xdr:rowOff>4506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64EA884-9381-7975-7ACF-BBAF488D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2466974" cy="92843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A675F-3059-4DBD-8823-A7D13C9A7F41}" name="Tabella1" displayName="Tabella1" ref="O2:AA17" totalsRowShown="0" dataDxfId="58">
  <autoFilter ref="O2:AA17" xr:uid="{00FA675F-3059-4DBD-8823-A7D13C9A7F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19DB5BD-19BA-4DF1-A5F2-79269EEDFECE}" name="ABO" dataDxfId="66"/>
    <tableColumn id="8" xr3:uid="{80A4B5A5-532A-44D5-8D9F-9B94CBE3F471}" name="Donor type" dataDxfId="65"/>
    <tableColumn id="2" xr3:uid="{288F75E7-3C6E-4B23-AD7F-AA02E357102E}" name="2019" dataDxfId="64"/>
    <tableColumn id="3" xr3:uid="{D5E548A8-0144-48C1-9E9F-B1892B883367}" name="2018" dataDxfId="63"/>
    <tableColumn id="4" xr3:uid="{24C5F729-1023-4EAF-8C60-3F6D2E3EDFD1}" name="2017" dataDxfId="62"/>
    <tableColumn id="5" xr3:uid="{165F2656-582C-49CD-98F9-91146B3B6BBB}" name="2016" dataDxfId="61"/>
    <tableColumn id="6" xr3:uid="{7937AEA9-9487-44E1-8C0B-4CD6383DA916}" name="2015" dataDxfId="60"/>
    <tableColumn id="7" xr3:uid="{A9428821-81D1-4420-88B7-2E7A6FA6D993}" name="2014" dataDxfId="59"/>
    <tableColumn id="9" xr3:uid="{AF715886-99E0-429E-A252-B54A9A2F7435}" name="2013" dataDxfId="57"/>
    <tableColumn id="10" xr3:uid="{0080CF72-1B31-4FFD-9F74-B53AD0EB6753}" name="2012" dataDxfId="56"/>
    <tableColumn id="11" xr3:uid="{EB62911F-5B0C-40B1-A2D5-14A2C068A483}" name="2011" dataDxfId="55"/>
    <tableColumn id="12" xr3:uid="{B0261715-C035-4FAC-A0BD-58345182EDFF}" name="2010" dataDxfId="54"/>
    <tableColumn id="13" xr3:uid="{E2E8F788-4443-4931-B633-37417204AA66}" name="2009" dataDxfId="53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AAB439-C7A2-4554-9DEE-D58A9FBC0849}" name="Tabella511" displayName="Tabella511" ref="G2:K22" totalsRowShown="0" headerRowDxfId="11" dataDxfId="10">
  <autoFilter ref="G2:K22" xr:uid="{39AAB439-C7A2-4554-9DEE-D58A9FBC084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69A00D-C2E1-4748-A3BA-21040F806A22}" name="ABO" dataDxfId="9"/>
    <tableColumn id="2" xr3:uid="{F76DB913-F997-4A5F-8938-CA5E4E584E90}" name="Priorità" dataDxfId="8"/>
    <tableColumn id="4" xr3:uid="{EF4E2C40-9F19-4F9D-87E8-E09E50726E85}" name="r/anno" dataDxfId="7">
      <calculatedColumnFormula>AVERAGE(Dati_OPTN!Q49:V49)</calculatedColumnFormula>
    </tableColumn>
    <tableColumn id="3" xr3:uid="{A220BCC8-294E-4883-8387-63FD0FA08B49}" name="r/giorno" dataDxfId="6">
      <calculatedColumnFormula>Tabella511[[#This Row],[r/anno]]/365</calculatedColumnFormula>
    </tableColumn>
    <tableColumn id="5" xr3:uid="{0DDE1C79-381B-438A-8816-46DFAA18D207}" name="P(Bt AND Pr)" dataDxfId="3">
      <calculatedColumnFormula>Tabella511[[#This Row],[r/anno]]/$I$3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BD7902-7D1C-42DB-8AB5-8106B1D8B572}" name="Tabella512" displayName="Tabella512" ref="A25:E45" totalsRowShown="0" headerRowDxfId="26" dataDxfId="25">
  <autoFilter ref="A25:E45" xr:uid="{28BD7902-7D1C-42DB-8AB5-8106B1D8B57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98CB269-8B17-4707-91CD-80702DE30D6E}" name="ABO" dataDxfId="2"/>
    <tableColumn id="2" xr3:uid="{87FC4533-623C-4854-827B-E5544324A9FE}" name="Priorità" dataDxfId="1"/>
    <tableColumn id="4" xr3:uid="{FD4B1F93-A46D-4255-B864-8A6866753822}" name="t/anno" dataDxfId="24">
      <calculatedColumnFormula>AVERAGE(Dati_OPTN!C49:H49)</calculatedColumnFormula>
    </tableColumn>
    <tableColumn id="3" xr3:uid="{7199DA96-C5C7-4593-B8D6-26D61410C5B8}" name="t/giorno" dataDxfId="23">
      <calculatedColumnFormula>Tabella512[[#This Row],[t/anno]]/365</calculatedColumnFormula>
    </tableColumn>
    <tableColumn id="5" xr3:uid="{CB61000E-F381-43CB-ADCE-A8143993D18E}" name="P(Bt AND Pr)" dataDxfId="0">
      <calculatedColumnFormula>Tabella512[[#This Row],[t/anno]]/$C$26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3C8C9-3751-4605-AE40-A8E0611D5EC3}" name="Tabella2" displayName="Tabella2" ref="A2:M22" totalsRowShown="0" dataDxfId="44">
  <tableColumns count="13">
    <tableColumn id="1" xr3:uid="{64851773-8A28-4382-9779-AD89DEA07618}" name="ABO" dataDxfId="52"/>
    <tableColumn id="2" xr3:uid="{7C7B751B-DC8E-494C-A19A-E6EDD22AAE66}" name="Priorità" dataDxfId="51"/>
    <tableColumn id="3" xr3:uid="{3908F269-D3C9-451D-8FB5-97CA785B0EF9}" name="2019" dataDxfId="50"/>
    <tableColumn id="4" xr3:uid="{01AE3C86-3D50-46BD-A15A-03ED1F4D5717}" name="2018" dataDxfId="49"/>
    <tableColumn id="5" xr3:uid="{51ADFDA8-7558-4BC8-AE9C-C5FF49A631D6}" name="2017" dataDxfId="48"/>
    <tableColumn id="6" xr3:uid="{B2625354-5641-4830-AFE1-B09735718F0E}" name="2016" dataDxfId="47"/>
    <tableColumn id="7" xr3:uid="{D50DE7D4-8BF6-4B8D-9B5E-621A2C9FB24F}" name="2015" dataDxfId="46"/>
    <tableColumn id="8" xr3:uid="{08FE134F-A7DB-4DF5-A96A-DBE2DC00DF18}" name="2014" dataDxfId="45"/>
    <tableColumn id="9" xr3:uid="{F0347D48-CA3B-4B80-A0B9-DE372B4EFB37}" name="2013" dataDxfId="43"/>
    <tableColumn id="10" xr3:uid="{65A4879B-6530-4949-B7FA-EC0727F6E269}" name="2012" dataDxfId="42"/>
    <tableColumn id="11" xr3:uid="{9D777F88-3985-4C55-BED2-44D9AA03943D}" name="2011" dataDxfId="41"/>
    <tableColumn id="12" xr3:uid="{BBB4FF4F-2643-4CB7-BFEF-12053B002996}" name="2010" dataDxfId="40"/>
    <tableColumn id="13" xr3:uid="{59BBDF16-24E8-4D04-9106-3340C9F8B302}" name="2009" dataDxfId="39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ABCA4-997E-4127-B452-29F7635C218A}" name="Tabella7" displayName="Tabella7" ref="A48:M68" totalsRowShown="0">
  <tableColumns count="13">
    <tableColumn id="1" xr3:uid="{5A9F554A-C810-493F-9C4C-70D129C37097}" name="ABO"/>
    <tableColumn id="2" xr3:uid="{75BE70A0-045E-46D7-9D24-AA56B4BC0C1A}" name="Priorità"/>
    <tableColumn id="3" xr3:uid="{03D9493B-AB42-4000-B2D5-9AF1E9CE14D1}" name="2019"/>
    <tableColumn id="4" xr3:uid="{1E79CA8A-6A5F-4E7E-A364-0A23E95ACEA1}" name="2018" dataDxfId="22"/>
    <tableColumn id="5" xr3:uid="{C5B6259E-D09F-45D3-895A-CC657D82F840}" name="2017" dataDxfId="21"/>
    <tableColumn id="6" xr3:uid="{FB787A5F-8926-42D2-A357-9AE056037A8D}" name="2016" dataDxfId="20"/>
    <tableColumn id="7" xr3:uid="{E922DF3B-F4D5-44BD-AA2D-F0D5E5813F36}" name="2015" dataDxfId="19"/>
    <tableColumn id="8" xr3:uid="{A4D08FB3-3954-4894-BC72-92E0A2F728D1}" name="2014" dataDxfId="18"/>
    <tableColumn id="9" xr3:uid="{2D5EE4FF-F182-448B-BCE0-98465A9549AE}" name="2013" dataDxfId="17"/>
    <tableColumn id="10" xr3:uid="{2F685DCB-D40A-4BD3-830B-14FF541C5E2D}" name="2012" dataDxfId="16"/>
    <tableColumn id="11" xr3:uid="{E50B4466-F9EB-4F57-B915-56BF99E6F351}" name="2011" dataDxfId="15"/>
    <tableColumn id="12" xr3:uid="{3568D710-8A72-4F99-8CED-F809A5B14D60}" name="2010" dataDxfId="14"/>
    <tableColumn id="13" xr3:uid="{2A5ABB7C-200A-4FFE-9620-7F0DBF0D23CA}" name="2009" dataDxfId="13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84BE8F-18AB-4C77-BE9F-65F6F355AF0A}" name="Tabella8" displayName="Tabella8" ref="A25:M45" totalsRowShown="0">
  <autoFilter ref="A25:M45" xr:uid="{1484BE8F-18AB-4C77-BE9F-65F6F355AF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C03BB73-03BD-4CE9-A91B-4468B36D7AD4}" name="ABO"/>
    <tableColumn id="2" xr3:uid="{C0B9FE81-BB51-4158-BEF0-2B388D42A335}" name="Priority"/>
    <tableColumn id="3" xr3:uid="{B68CE4A0-BB32-44A6-8E75-DE60D16ABE57}" name="2019"/>
    <tableColumn id="4" xr3:uid="{D6149A19-9E68-49A9-B9BC-E8B1348A538A}" name="2018"/>
    <tableColumn id="5" xr3:uid="{731408ED-FA5D-4961-B0C1-5AED46E5A885}" name="2017"/>
    <tableColumn id="6" xr3:uid="{423904C7-164A-4E48-9306-DDB314F6F740}" name="2016"/>
    <tableColumn id="7" xr3:uid="{30C24AEF-03A3-45D1-961A-ACDCF4901EF7}" name="2015"/>
    <tableColumn id="8" xr3:uid="{E4C61229-5BFA-458E-B41C-7C08086EE415}" name="2014"/>
    <tableColumn id="9" xr3:uid="{496C2E6A-0CAC-4322-9717-17B5403364A1}" name="2013"/>
    <tableColumn id="10" xr3:uid="{7E6E1026-AA93-4CB0-93AB-C7556D6C0805}" name="2012"/>
    <tableColumn id="11" xr3:uid="{86011F16-19A4-45C1-B61C-17E3F5757163}" name="2011"/>
    <tableColumn id="12" xr3:uid="{CF900300-C704-41A9-A781-676543BB4B18}" name="2010"/>
    <tableColumn id="13" xr3:uid="{2468DF4F-3AD6-4355-BCB8-FB5A598D1937}" name="2009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EEE0F-D6D9-46FC-931C-41A7DA468576}" name="Tabella9" displayName="Tabella9" ref="O25:AA45" totalsRowShown="0">
  <autoFilter ref="O25:AA45" xr:uid="{8D0EEE0F-D6D9-46FC-931C-41A7DA4685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E16F80C-2051-4039-BB82-95DB81CD64A3}" name="ABO"/>
    <tableColumn id="2" xr3:uid="{2C705860-ED20-46D1-9E80-583D4116827E}" name="Priorità"/>
    <tableColumn id="3" xr3:uid="{4B8BBC52-558A-43A1-86CE-CFB029ACEAA4}" name="2019"/>
    <tableColumn id="4" xr3:uid="{582F9B58-30E2-43FD-A896-A22E86A5412A}" name="2018"/>
    <tableColumn id="5" xr3:uid="{02B1181B-BFF7-4B0D-9DB4-323BB9EE5EA5}" name="2017"/>
    <tableColumn id="6" xr3:uid="{796851B5-33DE-446D-9BB6-0A3BD4F6D3A2}" name="2016"/>
    <tableColumn id="7" xr3:uid="{B75D912C-365E-49D6-83EA-E7ED3FACD08D}" name="2015"/>
    <tableColumn id="8" xr3:uid="{490253B3-DC94-46F0-A7D2-3776CD24A9AD}" name="2014"/>
    <tableColumn id="9" xr3:uid="{5BECC5EC-BA0E-4D65-8539-1BB665035E98}" name="2013"/>
    <tableColumn id="10" xr3:uid="{0E2444CB-F4C6-498F-A291-B29D393C3614}" name="2012"/>
    <tableColumn id="11" xr3:uid="{898D2650-130E-4645-816C-EAB366B245C5}" name="2011"/>
    <tableColumn id="12" xr3:uid="{914A9523-D907-443C-9F35-7164886DD281}" name="2010"/>
    <tableColumn id="13" xr3:uid="{6A697A1A-0FC6-4B7C-94F2-EA6A01F6BCE4}" name="2009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6A7C7A-96F1-49CB-9062-3508C51B548A}" name="Tabella913" displayName="Tabella913" ref="O48:AA68" totalsRowShown="0">
  <autoFilter ref="O48:AA68" xr:uid="{A06A7C7A-96F1-49CB-9062-3508C51B5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FC45EFB-905C-4CA6-9DA4-176A30B89AD8}" name="ABO"/>
    <tableColumn id="2" xr3:uid="{94DF0286-BDBB-4D0C-B59B-863CF142831E}" name="Priorità"/>
    <tableColumn id="3" xr3:uid="{E180B7C7-FC05-43AC-BBD4-3CBB2D6A8999}" name="2019">
      <calculatedColumnFormula>Q26-C26-Tabella7[[#This Row],[2019]]</calculatedColumnFormula>
    </tableColumn>
    <tableColumn id="4" xr3:uid="{C02C7D67-2AFF-4392-906B-50B27C232176}" name="2018">
      <calculatedColumnFormula>R26-D26-Tabella7[[#This Row],[2018]]</calculatedColumnFormula>
    </tableColumn>
    <tableColumn id="5" xr3:uid="{1536A813-50AD-45F6-9832-3D4840485BA1}" name="2017">
      <calculatedColumnFormula>S26-E26-Tabella7[[#This Row],[2017]]</calculatedColumnFormula>
    </tableColumn>
    <tableColumn id="6" xr3:uid="{D1DAEE16-0B20-4088-A885-1349E4091190}" name="2016">
      <calculatedColumnFormula>T26-F26-Tabella7[[#This Row],[2016]]</calculatedColumnFormula>
    </tableColumn>
    <tableColumn id="7" xr3:uid="{F93B6D12-6B24-4689-A2D5-D59F793B830F}" name="2015">
      <calculatedColumnFormula>U26-G26-Tabella7[[#This Row],[2015]]</calculatedColumnFormula>
    </tableColumn>
    <tableColumn id="8" xr3:uid="{38703A92-81DB-448A-B94C-4299651D53BC}" name="2014">
      <calculatedColumnFormula>V26-H26-Tabella7[[#This Row],[2014]]</calculatedColumnFormula>
    </tableColumn>
    <tableColumn id="9" xr3:uid="{F8FCFAE7-879B-49A2-9FEC-678C982CA16F}" name="2013">
      <calculatedColumnFormula>W26-I26-Tabella7[[#This Row],[2013]]</calculatedColumnFormula>
    </tableColumn>
    <tableColumn id="10" xr3:uid="{5D276640-363E-4CA6-97E9-662196458A18}" name="2012">
      <calculatedColumnFormula>X26-J26-Tabella7[[#This Row],[2012]]</calculatedColumnFormula>
    </tableColumn>
    <tableColumn id="11" xr3:uid="{A3B545FC-0EE5-4C68-BC76-75AFED86F5F1}" name="2011">
      <calculatedColumnFormula>Y26-K26-Tabella7[[#This Row],[2011]]</calculatedColumnFormula>
    </tableColumn>
    <tableColumn id="12" xr3:uid="{3F064CCA-D5B7-4F0A-9256-17F7B712C33D}" name="2010">
      <calculatedColumnFormula>Z26-L26-Tabella7[[#This Row],[2010]]</calculatedColumnFormula>
    </tableColumn>
    <tableColumn id="13" xr3:uid="{DE72A9E3-8E82-4675-A22C-862C754C86E5}" name="2009">
      <calculatedColumnFormula>AA26-M26-Tabella7[[#This Row],[2009]]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0A279E-7D25-4EB7-8467-3E446C7FF4E1}" name="Tabella3" displayName="Tabella3" ref="A1:F13" totalsRowShown="0">
  <autoFilter ref="A1:F13" xr:uid="{120A279E-7D25-4EB7-8467-3E446C7FF4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3815F07-1465-4B44-9C9A-A6A4C703CE3E}" name="Lambda-Pazienti" dataDxfId="70"/>
    <tableColumn id="2" xr3:uid="{305E1CC3-AB79-41C5-AC1F-A0E863C7265C}" name="Priorità" dataDxfId="69"/>
    <tableColumn id="3" xr3:uid="{955F09BD-67A1-451D-B446-E82F1D1DB67B}" name="p/anno (2014-2019)" dataDxfId="35">
      <calculatedColumnFormula>AVERAGE(Dati_OPTN!C8:H8)</calculatedColumnFormula>
    </tableColumn>
    <tableColumn id="7" xr3:uid="{A1CBC839-E0F4-4336-9BCA-F0565EBF46FE}" name="p/giorno (2014-2019)" dataDxfId="37">
      <calculatedColumnFormula>Tabella3[[#This Row],[p/anno (2014-2019)]]/365</calculatedColumnFormula>
    </tableColumn>
    <tableColumn id="5" xr3:uid="{1079B020-216B-4696-8670-BC2A206CD367}" name="p/anno (2009-2013)" dataDxfId="38">
      <calculatedColumnFormula>AVERAGE(Dati_OPTN!I8:M8)</calculatedColumnFormula>
    </tableColumn>
    <tableColumn id="6" xr3:uid="{460FA252-B9FF-4539-B2F0-F81853F6B773}" name="p/giorno (2009-2013)" dataDxfId="36">
      <calculatedColumnFormula>Tabella3[[#This Row],[p/anno (2009-2013)]]/365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216F22-6E9E-41A0-97D2-72ADAA5F1AF9}" name="Tabella4" displayName="Tabella4" ref="A15:F27" totalsRowShown="0">
  <autoFilter ref="A15:F27" xr:uid="{CC216F22-6E9E-41A0-97D2-72ADAA5F1A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122BAB9-B1F1-4597-88C8-A4BB3483A3C5}" name="Lambda - Organi" dataDxfId="34"/>
    <tableColumn id="4" xr3:uid="{6DDA60BD-7BC0-4E8A-9D2D-CEB5733C141C}" name="Tipo" dataDxfId="33"/>
    <tableColumn id="2" xr3:uid="{61930DE4-96A2-4E50-B7A2-EC316F394E6E}" name="o/anno (2014-2019)" dataDxfId="29">
      <calculatedColumnFormula>AVERAGE(Dati_OPTN!Q6:V6)</calculatedColumnFormula>
    </tableColumn>
    <tableColumn id="3" xr3:uid="{3B4AD049-1BFD-4BA4-887E-8F739AA06CDF}" name="o/giorno (2014-2019)" dataDxfId="32">
      <calculatedColumnFormula>C16/365</calculatedColumnFormula>
    </tableColumn>
    <tableColumn id="5" xr3:uid="{5915D8DB-621D-4A81-94BB-E4EB02EB5701}" name="o/anno (2009-2013)" dataDxfId="31">
      <calculatedColumnFormula>AVERAGE(Dati_OPTN!W6:AA6)</calculatedColumnFormula>
    </tableColumn>
    <tableColumn id="6" xr3:uid="{9FEA8255-F08A-4CA2-98D9-F2A55424B1C6}" name="o/giorno (2009-2013)" dataDxfId="30">
      <calculatedColumnFormula>E16/365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E20788-D8CF-443B-8179-454A6ED06E49}" name="Tabella5" displayName="Tabella5" ref="A2:E22" totalsRowShown="0" headerRowDxfId="68" dataDxfId="67">
  <autoFilter ref="A2:E22" xr:uid="{D2E20788-D8CF-443B-8179-454A6ED06E4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D68F1AC-2673-48AE-B689-E045331C99CC}" name="ABO" dataDxfId="5"/>
    <tableColumn id="2" xr3:uid="{2B1A20B1-555F-402A-B379-FD2E82AE4007}" name="Priorità" dataDxfId="4"/>
    <tableColumn id="4" xr3:uid="{ABB29F11-5181-45EC-80CB-6A669006D59E}" name="d/anno" dataDxfId="28">
      <calculatedColumnFormula>AVERAGE(Dati_OPTN!C26:H26)</calculatedColumnFormula>
    </tableColumn>
    <tableColumn id="3" xr3:uid="{060F1E36-E93F-4714-8653-11CE1C0F6151}" name="d/giorno" dataDxfId="27">
      <calculatedColumnFormula>Tabella5[[#This Row],[d/anno]]/365</calculatedColumnFormula>
    </tableColumn>
    <tableColumn id="6" xr3:uid="{F35DC9D1-14A6-459F-981C-93D856287F2D}" name="P(Bt AND Pr)" dataDxfId="12">
      <calculatedColumnFormula>C3/$C$3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31C7-EE25-4066-8749-63253BDC3278}">
  <dimension ref="A1:AA68"/>
  <sheetViews>
    <sheetView topLeftCell="A46" workbookViewId="0">
      <selection activeCell="O49" sqref="O49:P68"/>
    </sheetView>
  </sheetViews>
  <sheetFormatPr defaultRowHeight="15"/>
  <cols>
    <col min="1" max="1" width="11.42578125" style="86" customWidth="1"/>
    <col min="2" max="2" width="16.5703125" style="86" customWidth="1"/>
    <col min="3" max="3" width="11.42578125" style="86" customWidth="1"/>
    <col min="4" max="15" width="9.140625" style="86"/>
    <col min="16" max="16" width="9.7109375" style="86" customWidth="1"/>
    <col min="17" max="16384" width="9.140625" style="86"/>
  </cols>
  <sheetData>
    <row r="1" spans="1:27">
      <c r="A1" s="109" t="s">
        <v>115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O1" s="109" t="s">
        <v>116</v>
      </c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</row>
    <row r="2" spans="1:27">
      <c r="A2" t="s">
        <v>84</v>
      </c>
      <c r="B2" t="s">
        <v>81</v>
      </c>
      <c r="C2" t="s">
        <v>109</v>
      </c>
      <c r="D2" t="s">
        <v>110</v>
      </c>
      <c r="E2" t="s">
        <v>111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112</v>
      </c>
      <c r="M2" t="s">
        <v>113</v>
      </c>
      <c r="O2" t="s">
        <v>84</v>
      </c>
      <c r="P2" t="s">
        <v>108</v>
      </c>
      <c r="Q2" t="s">
        <v>109</v>
      </c>
      <c r="R2" t="s">
        <v>110</v>
      </c>
      <c r="S2" t="s">
        <v>111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112</v>
      </c>
      <c r="AA2" t="s">
        <v>113</v>
      </c>
    </row>
    <row r="3" spans="1:27">
      <c r="A3" t="s">
        <v>64</v>
      </c>
      <c r="B3" t="s">
        <v>69</v>
      </c>
      <c r="C3">
        <v>41100</v>
      </c>
      <c r="D3">
        <v>38801</v>
      </c>
      <c r="E3">
        <v>35592</v>
      </c>
      <c r="F3">
        <v>35417</v>
      </c>
      <c r="G3">
        <v>35033</v>
      </c>
      <c r="H3">
        <v>36154</v>
      </c>
      <c r="I3" s="89">
        <v>36393</v>
      </c>
      <c r="J3" s="89">
        <v>34831</v>
      </c>
      <c r="K3" s="89">
        <v>33560</v>
      </c>
      <c r="L3" s="89">
        <v>34400</v>
      </c>
      <c r="M3" s="89">
        <v>33646</v>
      </c>
      <c r="O3" t="s">
        <v>64</v>
      </c>
      <c r="P3" t="s">
        <v>99</v>
      </c>
      <c r="Q3">
        <v>18018</v>
      </c>
      <c r="R3">
        <v>16310</v>
      </c>
      <c r="S3">
        <v>15212</v>
      </c>
      <c r="T3">
        <v>14745</v>
      </c>
      <c r="U3">
        <v>13878</v>
      </c>
      <c r="V3">
        <v>13302</v>
      </c>
      <c r="W3" s="89">
        <v>13282</v>
      </c>
      <c r="X3" s="89">
        <v>13040</v>
      </c>
      <c r="Y3" s="89">
        <v>13207</v>
      </c>
      <c r="Z3" s="89">
        <v>13519</v>
      </c>
      <c r="AA3" s="89">
        <v>13636</v>
      </c>
    </row>
    <row r="4" spans="1:27">
      <c r="A4"/>
      <c r="B4" t="s">
        <v>70</v>
      </c>
      <c r="C4">
        <v>41</v>
      </c>
      <c r="D4">
        <v>37</v>
      </c>
      <c r="E4">
        <v>19</v>
      </c>
      <c r="F4">
        <v>45</v>
      </c>
      <c r="G4">
        <v>46</v>
      </c>
      <c r="H4">
        <v>36</v>
      </c>
      <c r="I4" s="89">
        <v>29</v>
      </c>
      <c r="J4" s="89">
        <v>28</v>
      </c>
      <c r="K4" s="89">
        <v>29</v>
      </c>
      <c r="L4" s="89">
        <v>34</v>
      </c>
      <c r="M4" s="89">
        <v>35</v>
      </c>
      <c r="O4"/>
      <c r="P4" t="s">
        <v>100</v>
      </c>
      <c r="Q4">
        <v>11152</v>
      </c>
      <c r="R4">
        <v>9867</v>
      </c>
      <c r="S4">
        <v>9401</v>
      </c>
      <c r="T4">
        <v>9116</v>
      </c>
      <c r="U4">
        <v>8250</v>
      </c>
      <c r="V4">
        <v>7763</v>
      </c>
      <c r="W4" s="89">
        <v>7548</v>
      </c>
      <c r="X4" s="89">
        <v>7421</v>
      </c>
      <c r="Y4" s="89">
        <v>7434</v>
      </c>
      <c r="Z4" s="89">
        <v>7241</v>
      </c>
      <c r="AA4" s="89">
        <v>7248</v>
      </c>
    </row>
    <row r="5" spans="1:27">
      <c r="A5"/>
      <c r="B5" t="s">
        <v>71</v>
      </c>
      <c r="C5">
        <v>31145</v>
      </c>
      <c r="D5">
        <v>29735</v>
      </c>
      <c r="E5">
        <v>27913</v>
      </c>
      <c r="F5">
        <v>27644</v>
      </c>
      <c r="G5">
        <v>26395</v>
      </c>
      <c r="H5">
        <v>25197</v>
      </c>
      <c r="I5" s="89">
        <v>25120</v>
      </c>
      <c r="J5" s="89">
        <v>24125</v>
      </c>
      <c r="K5" s="89">
        <v>23502</v>
      </c>
      <c r="L5" s="89">
        <v>24367</v>
      </c>
      <c r="M5" s="89">
        <v>24299</v>
      </c>
      <c r="O5"/>
      <c r="P5" t="s">
        <v>101</v>
      </c>
      <c r="Q5">
        <v>6866</v>
      </c>
      <c r="R5">
        <v>6443</v>
      </c>
      <c r="S5">
        <v>5811</v>
      </c>
      <c r="T5">
        <v>5629</v>
      </c>
      <c r="U5">
        <v>5628</v>
      </c>
      <c r="V5">
        <v>5539</v>
      </c>
      <c r="W5" s="89">
        <v>5734</v>
      </c>
      <c r="X5" s="89">
        <v>5619</v>
      </c>
      <c r="Y5" s="89">
        <v>5773</v>
      </c>
      <c r="Z5" s="89">
        <v>6278</v>
      </c>
      <c r="AA5" s="89">
        <v>6388</v>
      </c>
    </row>
    <row r="6" spans="1:27">
      <c r="A6"/>
      <c r="B6" t="s">
        <v>72</v>
      </c>
      <c r="C6">
        <v>10345</v>
      </c>
      <c r="D6">
        <v>9391</v>
      </c>
      <c r="E6">
        <v>7967</v>
      </c>
      <c r="F6">
        <v>8074</v>
      </c>
      <c r="G6">
        <v>8938</v>
      </c>
      <c r="H6">
        <v>11390</v>
      </c>
      <c r="I6" s="89">
        <v>11725</v>
      </c>
      <c r="J6" s="89">
        <v>11107</v>
      </c>
      <c r="K6" s="89">
        <v>10405</v>
      </c>
      <c r="L6" s="89">
        <v>10365</v>
      </c>
      <c r="M6" s="89">
        <v>9726</v>
      </c>
      <c r="O6" t="s">
        <v>65</v>
      </c>
      <c r="P6" t="s">
        <v>99</v>
      </c>
      <c r="Q6">
        <v>9625</v>
      </c>
      <c r="R6">
        <v>8673</v>
      </c>
      <c r="S6">
        <v>8159</v>
      </c>
      <c r="T6">
        <v>7956</v>
      </c>
      <c r="U6">
        <v>7513</v>
      </c>
      <c r="V6">
        <v>7156</v>
      </c>
      <c r="W6" s="89">
        <v>7211</v>
      </c>
      <c r="X6" s="89">
        <v>7064</v>
      </c>
      <c r="Y6" s="89">
        <v>7244</v>
      </c>
      <c r="Z6" s="89">
        <v>7431</v>
      </c>
      <c r="AA6" s="89">
        <v>7653</v>
      </c>
    </row>
    <row r="7" spans="1:27">
      <c r="A7" t="s">
        <v>65</v>
      </c>
      <c r="B7" t="s">
        <v>69</v>
      </c>
      <c r="C7">
        <v>20140</v>
      </c>
      <c r="D7">
        <v>18962</v>
      </c>
      <c r="E7">
        <v>17205</v>
      </c>
      <c r="F7">
        <v>17454</v>
      </c>
      <c r="G7">
        <v>16980</v>
      </c>
      <c r="H7">
        <v>17581</v>
      </c>
      <c r="I7" s="89">
        <v>17643</v>
      </c>
      <c r="J7" s="89">
        <v>16975</v>
      </c>
      <c r="K7" s="89">
        <v>16237</v>
      </c>
      <c r="L7" s="89">
        <v>16668</v>
      </c>
      <c r="M7" s="89">
        <v>16325</v>
      </c>
      <c r="O7"/>
      <c r="P7" t="s">
        <v>100</v>
      </c>
      <c r="Q7">
        <v>5322</v>
      </c>
      <c r="R7">
        <v>4665</v>
      </c>
      <c r="S7">
        <v>4504</v>
      </c>
      <c r="T7">
        <v>4363</v>
      </c>
      <c r="U7">
        <v>3977</v>
      </c>
      <c r="V7">
        <v>3683</v>
      </c>
      <c r="W7" s="89">
        <v>3614</v>
      </c>
      <c r="X7" s="89">
        <v>3463</v>
      </c>
      <c r="Y7" s="89">
        <v>3566</v>
      </c>
      <c r="Z7" s="89">
        <v>3449</v>
      </c>
      <c r="AA7" s="89">
        <v>3458</v>
      </c>
    </row>
    <row r="8" spans="1:27">
      <c r="A8"/>
      <c r="B8" t="s">
        <v>70</v>
      </c>
      <c r="C8">
        <v>19</v>
      </c>
      <c r="D8">
        <v>17</v>
      </c>
      <c r="E8">
        <v>10</v>
      </c>
      <c r="F8">
        <v>23</v>
      </c>
      <c r="G8">
        <v>31</v>
      </c>
      <c r="H8">
        <v>14</v>
      </c>
      <c r="I8" s="89">
        <v>13</v>
      </c>
      <c r="J8" s="89">
        <v>20</v>
      </c>
      <c r="K8" s="89">
        <v>16</v>
      </c>
      <c r="L8" s="89">
        <v>16</v>
      </c>
      <c r="M8" s="89">
        <v>15</v>
      </c>
      <c r="O8"/>
      <c r="P8" t="s">
        <v>101</v>
      </c>
      <c r="Q8">
        <v>4303</v>
      </c>
      <c r="R8">
        <v>4008</v>
      </c>
      <c r="S8">
        <v>3655</v>
      </c>
      <c r="T8">
        <v>3593</v>
      </c>
      <c r="U8">
        <v>3536</v>
      </c>
      <c r="V8">
        <v>3473</v>
      </c>
      <c r="W8" s="89">
        <v>3597</v>
      </c>
      <c r="X8" s="89">
        <v>3601</v>
      </c>
      <c r="Y8" s="89">
        <v>3678</v>
      </c>
      <c r="Z8" s="89">
        <v>3982</v>
      </c>
      <c r="AA8" s="89">
        <v>4195</v>
      </c>
    </row>
    <row r="9" spans="1:27">
      <c r="A9"/>
      <c r="B9" t="s">
        <v>71</v>
      </c>
      <c r="C9">
        <v>15382</v>
      </c>
      <c r="D9">
        <v>14662</v>
      </c>
      <c r="E9">
        <v>13658</v>
      </c>
      <c r="F9">
        <v>13652</v>
      </c>
      <c r="G9">
        <v>12810</v>
      </c>
      <c r="H9">
        <v>12356</v>
      </c>
      <c r="I9" s="89">
        <v>12164</v>
      </c>
      <c r="J9" s="89">
        <v>11814</v>
      </c>
      <c r="K9" s="89">
        <v>11454</v>
      </c>
      <c r="L9" s="89">
        <v>11807</v>
      </c>
      <c r="M9" s="89">
        <v>11751</v>
      </c>
      <c r="O9" t="s">
        <v>66</v>
      </c>
      <c r="P9" t="s">
        <v>99</v>
      </c>
      <c r="Q9">
        <v>6016</v>
      </c>
      <c r="R9">
        <v>5440</v>
      </c>
      <c r="S9">
        <v>5139</v>
      </c>
      <c r="T9">
        <v>4934</v>
      </c>
      <c r="U9">
        <v>4597</v>
      </c>
      <c r="V9">
        <v>4399</v>
      </c>
      <c r="W9" s="89">
        <v>4392</v>
      </c>
      <c r="X9" s="89">
        <v>4282</v>
      </c>
      <c r="Y9" s="89">
        <v>4257</v>
      </c>
      <c r="Z9" s="89">
        <v>4328</v>
      </c>
      <c r="AA9" s="89">
        <v>4360</v>
      </c>
    </row>
    <row r="10" spans="1:27">
      <c r="A10"/>
      <c r="B10" t="s">
        <v>72</v>
      </c>
      <c r="C10">
        <v>4937</v>
      </c>
      <c r="D10">
        <v>4464</v>
      </c>
      <c r="E10">
        <v>3681</v>
      </c>
      <c r="F10">
        <v>3963</v>
      </c>
      <c r="G10">
        <v>4311</v>
      </c>
      <c r="H10">
        <v>5434</v>
      </c>
      <c r="I10" s="89">
        <v>5680</v>
      </c>
      <c r="J10" s="89">
        <v>5334</v>
      </c>
      <c r="K10" s="89">
        <v>4945</v>
      </c>
      <c r="L10" s="89">
        <v>5031</v>
      </c>
      <c r="M10" s="89">
        <v>4759</v>
      </c>
      <c r="O10"/>
      <c r="P10" t="s">
        <v>100</v>
      </c>
      <c r="Q10">
        <v>4127</v>
      </c>
      <c r="R10">
        <v>3635</v>
      </c>
      <c r="S10">
        <v>3516</v>
      </c>
      <c r="T10">
        <v>3403</v>
      </c>
      <c r="U10">
        <v>3020</v>
      </c>
      <c r="V10">
        <v>2882</v>
      </c>
      <c r="W10" s="89">
        <v>2815</v>
      </c>
      <c r="X10" s="89">
        <v>2766</v>
      </c>
      <c r="Y10" s="89">
        <v>2715</v>
      </c>
      <c r="Z10" s="89">
        <v>2638</v>
      </c>
      <c r="AA10" s="89">
        <v>2722</v>
      </c>
    </row>
    <row r="11" spans="1:27">
      <c r="A11" t="s">
        <v>66</v>
      </c>
      <c r="B11" t="s">
        <v>69</v>
      </c>
      <c r="C11">
        <v>13308</v>
      </c>
      <c r="D11">
        <v>12483</v>
      </c>
      <c r="E11">
        <v>11709</v>
      </c>
      <c r="F11">
        <v>11496</v>
      </c>
      <c r="G11">
        <v>11479</v>
      </c>
      <c r="H11">
        <v>11808</v>
      </c>
      <c r="I11" s="89">
        <v>11907</v>
      </c>
      <c r="J11" s="89">
        <v>11429</v>
      </c>
      <c r="K11" s="89">
        <v>11234</v>
      </c>
      <c r="L11" s="89">
        <v>11387</v>
      </c>
      <c r="M11" s="89">
        <v>11084</v>
      </c>
      <c r="O11"/>
      <c r="P11" t="s">
        <v>101</v>
      </c>
      <c r="Q11">
        <v>1889</v>
      </c>
      <c r="R11">
        <v>1805</v>
      </c>
      <c r="S11">
        <v>1623</v>
      </c>
      <c r="T11">
        <v>1531</v>
      </c>
      <c r="U11">
        <v>1577</v>
      </c>
      <c r="V11">
        <v>1517</v>
      </c>
      <c r="W11" s="89">
        <v>1577</v>
      </c>
      <c r="X11" s="89">
        <v>1516</v>
      </c>
      <c r="Y11" s="89">
        <v>1542</v>
      </c>
      <c r="Z11" s="89">
        <v>1690</v>
      </c>
      <c r="AA11" s="89">
        <v>1638</v>
      </c>
    </row>
    <row r="12" spans="1:27">
      <c r="A12"/>
      <c r="B12" t="s">
        <v>70</v>
      </c>
      <c r="C12">
        <v>10</v>
      </c>
      <c r="D12">
        <v>10</v>
      </c>
      <c r="E12">
        <v>8</v>
      </c>
      <c r="F12">
        <v>12</v>
      </c>
      <c r="G12">
        <v>8</v>
      </c>
      <c r="H12">
        <v>16</v>
      </c>
      <c r="I12" s="89">
        <v>10</v>
      </c>
      <c r="J12" s="89">
        <v>7</v>
      </c>
      <c r="K12" s="89">
        <v>7</v>
      </c>
      <c r="L12" s="89">
        <v>12</v>
      </c>
      <c r="M12" s="89">
        <v>7</v>
      </c>
      <c r="O12" t="s">
        <v>67</v>
      </c>
      <c r="P12" t="s">
        <v>99</v>
      </c>
      <c r="Q12">
        <v>1875</v>
      </c>
      <c r="R12">
        <v>1783</v>
      </c>
      <c r="S12">
        <v>1514</v>
      </c>
      <c r="T12">
        <v>1500</v>
      </c>
      <c r="U12">
        <v>1398</v>
      </c>
      <c r="V12">
        <v>1400</v>
      </c>
      <c r="W12" s="89">
        <v>1361</v>
      </c>
      <c r="X12" s="89">
        <v>1362</v>
      </c>
      <c r="Y12" s="89">
        <v>1374</v>
      </c>
      <c r="Z12" s="89">
        <v>1442</v>
      </c>
      <c r="AA12" s="89">
        <v>1349</v>
      </c>
    </row>
    <row r="13" spans="1:27">
      <c r="A13"/>
      <c r="B13" t="s">
        <v>71</v>
      </c>
      <c r="C13">
        <v>9915</v>
      </c>
      <c r="D13">
        <v>9378</v>
      </c>
      <c r="E13">
        <v>9046</v>
      </c>
      <c r="F13">
        <v>8850</v>
      </c>
      <c r="G13">
        <v>8677</v>
      </c>
      <c r="H13">
        <v>8153</v>
      </c>
      <c r="I13" s="89">
        <v>8253</v>
      </c>
      <c r="J13" s="89">
        <v>7919</v>
      </c>
      <c r="K13" s="89">
        <v>7809</v>
      </c>
      <c r="L13" s="89">
        <v>8128</v>
      </c>
      <c r="M13" s="89">
        <v>8044</v>
      </c>
      <c r="O13"/>
      <c r="P13" t="s">
        <v>100</v>
      </c>
      <c r="Q13">
        <v>1313</v>
      </c>
      <c r="R13">
        <v>1221</v>
      </c>
      <c r="S13">
        <v>1058</v>
      </c>
      <c r="T13">
        <v>1072</v>
      </c>
      <c r="U13">
        <v>950</v>
      </c>
      <c r="V13">
        <v>929</v>
      </c>
      <c r="W13" s="89">
        <v>874</v>
      </c>
      <c r="X13" s="89">
        <v>935</v>
      </c>
      <c r="Y13" s="89">
        <v>889</v>
      </c>
      <c r="Z13" s="89">
        <v>896</v>
      </c>
      <c r="AA13" s="89">
        <v>850</v>
      </c>
    </row>
    <row r="14" spans="1:27">
      <c r="A14"/>
      <c r="B14" t="s">
        <v>72</v>
      </c>
      <c r="C14">
        <v>3529</v>
      </c>
      <c r="D14">
        <v>3216</v>
      </c>
      <c r="E14">
        <v>2760</v>
      </c>
      <c r="F14">
        <v>2739</v>
      </c>
      <c r="G14">
        <v>2900</v>
      </c>
      <c r="H14">
        <v>3782</v>
      </c>
      <c r="I14" s="89">
        <v>3814</v>
      </c>
      <c r="J14" s="89">
        <v>3650</v>
      </c>
      <c r="K14" s="89">
        <v>3541</v>
      </c>
      <c r="L14" s="89">
        <v>3359</v>
      </c>
      <c r="M14" s="89">
        <v>3156</v>
      </c>
      <c r="O14"/>
      <c r="P14" t="s">
        <v>101</v>
      </c>
      <c r="Q14">
        <v>562</v>
      </c>
      <c r="R14">
        <v>562</v>
      </c>
      <c r="S14">
        <v>456</v>
      </c>
      <c r="T14">
        <v>428</v>
      </c>
      <c r="U14">
        <v>448</v>
      </c>
      <c r="V14">
        <v>471</v>
      </c>
      <c r="W14" s="89">
        <v>487</v>
      </c>
      <c r="X14" s="89">
        <v>427</v>
      </c>
      <c r="Y14" s="89">
        <v>485</v>
      </c>
      <c r="Z14" s="89">
        <v>546</v>
      </c>
      <c r="AA14" s="89">
        <v>499</v>
      </c>
    </row>
    <row r="15" spans="1:27">
      <c r="A15" t="s">
        <v>67</v>
      </c>
      <c r="B15" t="s">
        <v>69</v>
      </c>
      <c r="C15">
        <v>6077</v>
      </c>
      <c r="D15">
        <v>5865</v>
      </c>
      <c r="E15">
        <v>5305</v>
      </c>
      <c r="F15">
        <v>5189</v>
      </c>
      <c r="G15">
        <v>5201</v>
      </c>
      <c r="H15">
        <v>5394</v>
      </c>
      <c r="I15" s="89">
        <v>5489</v>
      </c>
      <c r="J15" s="89">
        <v>5085</v>
      </c>
      <c r="K15" s="89">
        <v>4830</v>
      </c>
      <c r="L15" s="89">
        <v>4991</v>
      </c>
      <c r="M15" s="89">
        <v>4917</v>
      </c>
      <c r="O15" t="s">
        <v>68</v>
      </c>
      <c r="P15" t="s">
        <v>99</v>
      </c>
      <c r="Q15">
        <v>502</v>
      </c>
      <c r="R15">
        <v>414</v>
      </c>
      <c r="S15">
        <v>400</v>
      </c>
      <c r="T15">
        <v>355</v>
      </c>
      <c r="U15">
        <v>370</v>
      </c>
      <c r="V15">
        <v>347</v>
      </c>
      <c r="W15" s="89">
        <v>318</v>
      </c>
      <c r="X15" s="89">
        <v>332</v>
      </c>
      <c r="Y15" s="89">
        <v>332</v>
      </c>
      <c r="Z15" s="89">
        <v>318</v>
      </c>
      <c r="AA15" s="89">
        <v>274</v>
      </c>
    </row>
    <row r="16" spans="1:27">
      <c r="A16"/>
      <c r="B16" t="s">
        <v>70</v>
      </c>
      <c r="C16">
        <v>10</v>
      </c>
      <c r="D16">
        <v>7</v>
      </c>
      <c r="E16">
        <v>0</v>
      </c>
      <c r="F16">
        <v>8</v>
      </c>
      <c r="G16">
        <v>5</v>
      </c>
      <c r="H16">
        <v>6</v>
      </c>
      <c r="I16" s="89">
        <v>5</v>
      </c>
      <c r="J16" s="89">
        <v>1</v>
      </c>
      <c r="K16" s="89">
        <v>3</v>
      </c>
      <c r="L16" s="89">
        <v>5</v>
      </c>
      <c r="M16" s="89">
        <v>13</v>
      </c>
      <c r="O16"/>
      <c r="P16" t="s">
        <v>100</v>
      </c>
      <c r="Q16">
        <v>390</v>
      </c>
      <c r="R16">
        <v>346</v>
      </c>
      <c r="S16">
        <v>323</v>
      </c>
      <c r="T16">
        <v>278</v>
      </c>
      <c r="U16">
        <v>303</v>
      </c>
      <c r="V16">
        <v>269</v>
      </c>
      <c r="W16" s="89">
        <v>245</v>
      </c>
      <c r="X16" s="89">
        <v>257</v>
      </c>
      <c r="Y16" s="89">
        <v>264</v>
      </c>
      <c r="Z16" s="89">
        <v>258</v>
      </c>
      <c r="AA16" s="89">
        <v>218</v>
      </c>
    </row>
    <row r="17" spans="1:27">
      <c r="A17"/>
      <c r="B17" t="s">
        <v>71</v>
      </c>
      <c r="C17">
        <v>4689</v>
      </c>
      <c r="D17">
        <v>4577</v>
      </c>
      <c r="E17">
        <v>4175</v>
      </c>
      <c r="F17">
        <v>4126</v>
      </c>
      <c r="G17">
        <v>3905</v>
      </c>
      <c r="H17">
        <v>3716</v>
      </c>
      <c r="I17" s="89">
        <v>3790</v>
      </c>
      <c r="J17" s="89">
        <v>3478</v>
      </c>
      <c r="K17" s="89">
        <v>3371</v>
      </c>
      <c r="L17" s="89">
        <v>3517</v>
      </c>
      <c r="M17" s="89">
        <v>3554</v>
      </c>
      <c r="O17"/>
      <c r="P17" t="s">
        <v>101</v>
      </c>
      <c r="Q17">
        <v>112</v>
      </c>
      <c r="R17">
        <v>68</v>
      </c>
      <c r="S17">
        <v>77</v>
      </c>
      <c r="T17">
        <v>77</v>
      </c>
      <c r="U17">
        <v>67</v>
      </c>
      <c r="V17">
        <v>78</v>
      </c>
      <c r="W17" s="89">
        <v>73</v>
      </c>
      <c r="X17" s="89">
        <v>75</v>
      </c>
      <c r="Y17" s="89">
        <v>68</v>
      </c>
      <c r="Z17" s="89">
        <v>60</v>
      </c>
      <c r="AA17" s="89">
        <v>56</v>
      </c>
    </row>
    <row r="18" spans="1:27">
      <c r="A18"/>
      <c r="B18" t="s">
        <v>72</v>
      </c>
      <c r="C18">
        <v>1449</v>
      </c>
      <c r="D18">
        <v>1329</v>
      </c>
      <c r="E18">
        <v>1176</v>
      </c>
      <c r="F18">
        <v>1099</v>
      </c>
      <c r="G18">
        <v>1346</v>
      </c>
      <c r="H18">
        <v>1758</v>
      </c>
      <c r="I18" s="89">
        <v>1773</v>
      </c>
      <c r="J18" s="89">
        <v>1680</v>
      </c>
      <c r="K18" s="89">
        <v>1517</v>
      </c>
      <c r="L18" s="89">
        <v>1518</v>
      </c>
      <c r="M18" s="89">
        <v>1424</v>
      </c>
    </row>
    <row r="19" spans="1:27">
      <c r="A19" t="s">
        <v>68</v>
      </c>
      <c r="B19" t="s">
        <v>69</v>
      </c>
      <c r="C19">
        <v>1576</v>
      </c>
      <c r="D19">
        <v>1491</v>
      </c>
      <c r="E19">
        <v>1374</v>
      </c>
      <c r="F19">
        <v>1279</v>
      </c>
      <c r="G19">
        <v>1374</v>
      </c>
      <c r="H19">
        <v>1371</v>
      </c>
      <c r="I19" s="89">
        <v>1355</v>
      </c>
      <c r="J19" s="89">
        <v>1343</v>
      </c>
      <c r="K19" s="89">
        <v>1260</v>
      </c>
      <c r="L19" s="89">
        <v>1354</v>
      </c>
      <c r="M19" s="89">
        <v>1323</v>
      </c>
    </row>
    <row r="20" spans="1:27">
      <c r="A20"/>
      <c r="B20" t="s">
        <v>70</v>
      </c>
      <c r="C20">
        <v>2</v>
      </c>
      <c r="D20">
        <v>3</v>
      </c>
      <c r="E20">
        <v>1</v>
      </c>
      <c r="F20">
        <v>2</v>
      </c>
      <c r="G20">
        <v>2</v>
      </c>
      <c r="H20">
        <v>0</v>
      </c>
      <c r="I20" s="89">
        <v>1</v>
      </c>
      <c r="J20" s="89">
        <v>0</v>
      </c>
      <c r="K20" s="89">
        <v>3</v>
      </c>
      <c r="L20" s="89">
        <v>1</v>
      </c>
      <c r="M20" s="89">
        <v>0</v>
      </c>
    </row>
    <row r="21" spans="1:27">
      <c r="A21"/>
      <c r="B21" t="s">
        <v>71</v>
      </c>
      <c r="C21">
        <v>1160</v>
      </c>
      <c r="D21">
        <v>1118</v>
      </c>
      <c r="E21">
        <v>1035</v>
      </c>
      <c r="F21">
        <v>1017</v>
      </c>
      <c r="G21">
        <v>1004</v>
      </c>
      <c r="H21">
        <v>973</v>
      </c>
      <c r="I21" s="89">
        <v>914</v>
      </c>
      <c r="J21" s="89">
        <v>915</v>
      </c>
      <c r="K21" s="89">
        <v>869</v>
      </c>
      <c r="L21" s="89">
        <v>915</v>
      </c>
      <c r="M21" s="89">
        <v>952</v>
      </c>
    </row>
    <row r="22" spans="1:27">
      <c r="A22"/>
      <c r="B22" t="s">
        <v>72</v>
      </c>
      <c r="C22">
        <v>430</v>
      </c>
      <c r="D22">
        <v>382</v>
      </c>
      <c r="E22">
        <v>350</v>
      </c>
      <c r="F22">
        <v>273</v>
      </c>
      <c r="G22">
        <v>381</v>
      </c>
      <c r="H22">
        <v>416</v>
      </c>
      <c r="I22" s="89">
        <v>458</v>
      </c>
      <c r="J22" s="89">
        <v>443</v>
      </c>
      <c r="K22" s="89">
        <v>402</v>
      </c>
      <c r="L22" s="89">
        <v>457</v>
      </c>
      <c r="M22" s="89">
        <v>388</v>
      </c>
    </row>
    <row r="23" spans="1:27">
      <c r="A23"/>
      <c r="B23"/>
      <c r="C23"/>
      <c r="D23"/>
      <c r="E23"/>
      <c r="F23"/>
      <c r="G23"/>
      <c r="H23"/>
      <c r="I23" s="89"/>
      <c r="J23" s="89"/>
      <c r="K23" s="89"/>
      <c r="L23" s="89"/>
      <c r="M23" s="89"/>
    </row>
    <row r="24" spans="1:27">
      <c r="A24" s="112" t="s">
        <v>117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O24" s="109" t="s">
        <v>118</v>
      </c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</row>
    <row r="25" spans="1:27">
      <c r="A25" t="s">
        <v>84</v>
      </c>
      <c r="B25" t="s">
        <v>114</v>
      </c>
      <c r="C25" t="s">
        <v>109</v>
      </c>
      <c r="D25" t="s">
        <v>110</v>
      </c>
      <c r="E25" t="s">
        <v>111</v>
      </c>
      <c r="F25" t="s">
        <v>74</v>
      </c>
      <c r="G25" t="s">
        <v>75</v>
      </c>
      <c r="H25" t="s">
        <v>76</v>
      </c>
      <c r="I25" t="s">
        <v>77</v>
      </c>
      <c r="J25" t="s">
        <v>78</v>
      </c>
      <c r="K25" t="s">
        <v>79</v>
      </c>
      <c r="L25" t="s">
        <v>112</v>
      </c>
      <c r="M25" t="s">
        <v>113</v>
      </c>
      <c r="O25" t="s">
        <v>84</v>
      </c>
      <c r="P25" t="s">
        <v>81</v>
      </c>
      <c r="Q25" t="s">
        <v>109</v>
      </c>
      <c r="R25" t="s">
        <v>110</v>
      </c>
      <c r="S25" t="s">
        <v>111</v>
      </c>
      <c r="T25" t="s">
        <v>74</v>
      </c>
      <c r="U25" t="s">
        <v>75</v>
      </c>
      <c r="V25" t="s">
        <v>76</v>
      </c>
      <c r="W25" t="s">
        <v>77</v>
      </c>
      <c r="X25" t="s">
        <v>78</v>
      </c>
      <c r="Y25" t="s">
        <v>79</v>
      </c>
      <c r="Z25" t="s">
        <v>112</v>
      </c>
      <c r="AA25" t="s">
        <v>113</v>
      </c>
    </row>
    <row r="26" spans="1:27">
      <c r="A26" t="s">
        <v>64</v>
      </c>
      <c r="B26" t="s">
        <v>69</v>
      </c>
      <c r="C26">
        <v>3871</v>
      </c>
      <c r="D26">
        <v>4102</v>
      </c>
      <c r="E26">
        <v>4298</v>
      </c>
      <c r="F26">
        <v>4691</v>
      </c>
      <c r="G26">
        <v>4796</v>
      </c>
      <c r="H26">
        <v>4753</v>
      </c>
      <c r="I26">
        <v>4607</v>
      </c>
      <c r="J26">
        <v>4619</v>
      </c>
      <c r="K26">
        <v>4783</v>
      </c>
      <c r="L26">
        <v>4678</v>
      </c>
      <c r="M26">
        <v>4688</v>
      </c>
      <c r="O26" t="s">
        <v>64</v>
      </c>
      <c r="P26" t="s">
        <v>69</v>
      </c>
      <c r="Q26">
        <v>38209</v>
      </c>
      <c r="R26">
        <v>36615</v>
      </c>
      <c r="S26">
        <v>35806</v>
      </c>
      <c r="T26">
        <v>35255</v>
      </c>
      <c r="U26">
        <v>33964</v>
      </c>
      <c r="V26">
        <v>31404</v>
      </c>
      <c r="W26">
        <v>29921</v>
      </c>
      <c r="X26">
        <v>28865</v>
      </c>
      <c r="Y26">
        <v>28705</v>
      </c>
      <c r="Z26">
        <v>27802</v>
      </c>
      <c r="AA26">
        <v>27104</v>
      </c>
    </row>
    <row r="27" spans="1:27">
      <c r="A27"/>
      <c r="B27" t="s">
        <v>70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>
        <v>10</v>
      </c>
      <c r="M27">
        <v>9</v>
      </c>
      <c r="O27"/>
      <c r="P27" t="s">
        <v>70</v>
      </c>
      <c r="Q27">
        <v>20</v>
      </c>
      <c r="R27">
        <v>15</v>
      </c>
      <c r="S27">
        <v>15</v>
      </c>
      <c r="T27">
        <v>27</v>
      </c>
      <c r="U27">
        <v>19</v>
      </c>
      <c r="V27">
        <v>31</v>
      </c>
      <c r="W27">
        <v>32</v>
      </c>
      <c r="X27">
        <v>24</v>
      </c>
      <c r="Y27">
        <v>49</v>
      </c>
      <c r="Z27">
        <v>55</v>
      </c>
      <c r="AA27">
        <v>61</v>
      </c>
    </row>
    <row r="28" spans="1:27">
      <c r="A28"/>
      <c r="B28" t="s">
        <v>71</v>
      </c>
      <c r="C28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>
        <v>1928</v>
      </c>
      <c r="M28">
        <v>1955</v>
      </c>
      <c r="O28"/>
      <c r="P28" t="s">
        <v>71</v>
      </c>
      <c r="Q28">
        <v>26030</v>
      </c>
      <c r="R28">
        <v>23850</v>
      </c>
      <c r="S28">
        <v>22750</v>
      </c>
      <c r="T28">
        <v>22012</v>
      </c>
      <c r="U28">
        <v>21151</v>
      </c>
      <c r="V28">
        <v>19945</v>
      </c>
      <c r="W28">
        <v>19615</v>
      </c>
      <c r="X28">
        <v>18972</v>
      </c>
      <c r="Y28">
        <v>19268</v>
      </c>
      <c r="Z28">
        <v>19133</v>
      </c>
      <c r="AA28">
        <v>18986</v>
      </c>
    </row>
    <row r="29" spans="1:27">
      <c r="A29"/>
      <c r="B29" t="s">
        <v>72</v>
      </c>
      <c r="C29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>
        <v>2812</v>
      </c>
      <c r="M29">
        <v>2783</v>
      </c>
      <c r="O29"/>
      <c r="P29" t="s">
        <v>72</v>
      </c>
      <c r="Q29">
        <v>13335</v>
      </c>
      <c r="R29">
        <v>13852</v>
      </c>
      <c r="S29">
        <v>14119</v>
      </c>
      <c r="T29">
        <v>14301</v>
      </c>
      <c r="U29">
        <v>13844</v>
      </c>
      <c r="V29">
        <v>12378</v>
      </c>
      <c r="W29">
        <v>11162</v>
      </c>
      <c r="X29">
        <v>10689</v>
      </c>
      <c r="Y29">
        <v>10177</v>
      </c>
      <c r="Z29">
        <v>9349</v>
      </c>
      <c r="AA29">
        <v>8736</v>
      </c>
    </row>
    <row r="30" spans="1:27">
      <c r="A30" t="s">
        <v>65</v>
      </c>
      <c r="B30" t="s">
        <v>69</v>
      </c>
      <c r="C30">
        <v>2103</v>
      </c>
      <c r="D30">
        <v>2207</v>
      </c>
      <c r="E30">
        <v>2231</v>
      </c>
      <c r="F30">
        <v>2444</v>
      </c>
      <c r="G30">
        <v>2484</v>
      </c>
      <c r="H30">
        <v>2412</v>
      </c>
      <c r="I30">
        <v>2383</v>
      </c>
      <c r="J30">
        <v>2414</v>
      </c>
      <c r="K30">
        <v>2453</v>
      </c>
      <c r="L30">
        <v>2427</v>
      </c>
      <c r="M30">
        <v>2458</v>
      </c>
      <c r="O30" t="s">
        <v>65</v>
      </c>
      <c r="P30" t="s">
        <v>69</v>
      </c>
      <c r="Q30">
        <v>18433</v>
      </c>
      <c r="R30">
        <v>17616</v>
      </c>
      <c r="S30">
        <v>17270</v>
      </c>
      <c r="T30">
        <v>17020</v>
      </c>
      <c r="U30">
        <v>16392</v>
      </c>
      <c r="V30">
        <v>15034</v>
      </c>
      <c r="W30">
        <v>14327</v>
      </c>
      <c r="X30">
        <v>13733</v>
      </c>
      <c r="Y30">
        <v>13701</v>
      </c>
      <c r="Z30">
        <v>13369</v>
      </c>
      <c r="AA30">
        <v>13068</v>
      </c>
    </row>
    <row r="31" spans="1:27">
      <c r="A31"/>
      <c r="B31" t="s">
        <v>70</v>
      </c>
      <c r="C31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>
        <v>4</v>
      </c>
      <c r="M31">
        <v>7</v>
      </c>
      <c r="O31"/>
      <c r="P31" t="s">
        <v>70</v>
      </c>
      <c r="Q31">
        <v>8</v>
      </c>
      <c r="R31">
        <v>8</v>
      </c>
      <c r="S31">
        <v>8</v>
      </c>
      <c r="T31">
        <v>17</v>
      </c>
      <c r="U31">
        <v>10</v>
      </c>
      <c r="V31">
        <v>14</v>
      </c>
      <c r="W31">
        <v>17</v>
      </c>
      <c r="X31">
        <v>10</v>
      </c>
      <c r="Y31">
        <v>28</v>
      </c>
      <c r="Z31">
        <v>20</v>
      </c>
      <c r="AA31">
        <v>40</v>
      </c>
    </row>
    <row r="32" spans="1:27">
      <c r="A32"/>
      <c r="B32" t="s">
        <v>71</v>
      </c>
      <c r="C32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>
        <v>1019</v>
      </c>
      <c r="M32">
        <v>1064</v>
      </c>
      <c r="O32"/>
      <c r="P32" t="s">
        <v>71</v>
      </c>
      <c r="Q32">
        <v>12252</v>
      </c>
      <c r="R32">
        <v>11181</v>
      </c>
      <c r="S32">
        <v>10682</v>
      </c>
      <c r="T32">
        <v>10318</v>
      </c>
      <c r="U32">
        <v>9962</v>
      </c>
      <c r="V32">
        <v>9339</v>
      </c>
      <c r="W32">
        <v>9198</v>
      </c>
      <c r="X32">
        <v>8804</v>
      </c>
      <c r="Y32">
        <v>9093</v>
      </c>
      <c r="Z32">
        <v>8999</v>
      </c>
      <c r="AA32">
        <v>8925</v>
      </c>
    </row>
    <row r="33" spans="1:27">
      <c r="A33"/>
      <c r="B33" t="s">
        <v>72</v>
      </c>
      <c r="C33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>
        <v>1446</v>
      </c>
      <c r="M33">
        <v>1422</v>
      </c>
      <c r="O33"/>
      <c r="P33" t="s">
        <v>72</v>
      </c>
      <c r="Q33">
        <v>6752</v>
      </c>
      <c r="R33">
        <v>6985</v>
      </c>
      <c r="S33">
        <v>7119</v>
      </c>
      <c r="T33">
        <v>7229</v>
      </c>
      <c r="U33">
        <v>6914</v>
      </c>
      <c r="V33">
        <v>6153</v>
      </c>
      <c r="W33">
        <v>5546</v>
      </c>
      <c r="X33">
        <v>5303</v>
      </c>
      <c r="Y33">
        <v>4988</v>
      </c>
      <c r="Z33">
        <v>4719</v>
      </c>
      <c r="AA33">
        <v>4434</v>
      </c>
    </row>
    <row r="34" spans="1:27">
      <c r="A34" t="s">
        <v>66</v>
      </c>
      <c r="B34" t="s">
        <v>69</v>
      </c>
      <c r="C34">
        <v>1042</v>
      </c>
      <c r="D34">
        <v>1144</v>
      </c>
      <c r="E34">
        <v>1259</v>
      </c>
      <c r="F34">
        <v>1374</v>
      </c>
      <c r="G34">
        <v>1415</v>
      </c>
      <c r="H34">
        <v>1427</v>
      </c>
      <c r="I34">
        <v>1380</v>
      </c>
      <c r="J34">
        <v>1367</v>
      </c>
      <c r="K34">
        <v>1418</v>
      </c>
      <c r="L34">
        <v>1345</v>
      </c>
      <c r="M34">
        <v>1364</v>
      </c>
      <c r="O34" t="s">
        <v>66</v>
      </c>
      <c r="P34" t="s">
        <v>69</v>
      </c>
      <c r="Q34">
        <v>12573</v>
      </c>
      <c r="R34">
        <v>12041</v>
      </c>
      <c r="S34">
        <v>11874</v>
      </c>
      <c r="T34">
        <v>11818</v>
      </c>
      <c r="U34">
        <v>11209</v>
      </c>
      <c r="V34">
        <v>10645</v>
      </c>
      <c r="W34">
        <v>10116</v>
      </c>
      <c r="X34">
        <v>9808</v>
      </c>
      <c r="Y34">
        <v>9751</v>
      </c>
      <c r="Z34">
        <v>9224</v>
      </c>
      <c r="AA34">
        <v>9146</v>
      </c>
    </row>
    <row r="35" spans="1:27">
      <c r="A35"/>
      <c r="B35" t="s">
        <v>70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>
        <v>2</v>
      </c>
      <c r="M35">
        <v>1</v>
      </c>
      <c r="O35"/>
      <c r="P35" t="s">
        <v>70</v>
      </c>
      <c r="Q35">
        <v>7</v>
      </c>
      <c r="R35">
        <v>2</v>
      </c>
      <c r="S35">
        <v>4</v>
      </c>
      <c r="T35">
        <v>3</v>
      </c>
      <c r="U35">
        <v>5</v>
      </c>
      <c r="V35">
        <v>10</v>
      </c>
      <c r="W35">
        <v>7</v>
      </c>
      <c r="X35">
        <v>12</v>
      </c>
      <c r="Y35">
        <v>13</v>
      </c>
      <c r="Z35">
        <v>19</v>
      </c>
      <c r="AA35">
        <v>12</v>
      </c>
    </row>
    <row r="36" spans="1:27">
      <c r="A36"/>
      <c r="B36" t="s">
        <v>71</v>
      </c>
      <c r="C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>
        <v>523</v>
      </c>
      <c r="M36">
        <v>536</v>
      </c>
      <c r="O36"/>
      <c r="P36" t="s">
        <v>71</v>
      </c>
      <c r="Q36">
        <v>8846</v>
      </c>
      <c r="R36">
        <v>8043</v>
      </c>
      <c r="S36">
        <v>7862</v>
      </c>
      <c r="T36">
        <v>7686</v>
      </c>
      <c r="U36">
        <v>7191</v>
      </c>
      <c r="V36">
        <v>7015</v>
      </c>
      <c r="W36">
        <v>6857</v>
      </c>
      <c r="X36">
        <v>6700</v>
      </c>
      <c r="Y36">
        <v>6679</v>
      </c>
      <c r="Z36">
        <v>6523</v>
      </c>
      <c r="AA36">
        <v>6643</v>
      </c>
    </row>
    <row r="37" spans="1:27">
      <c r="A37"/>
      <c r="B37" t="s">
        <v>72</v>
      </c>
      <c r="C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>
        <v>837</v>
      </c>
      <c r="M37">
        <v>838</v>
      </c>
      <c r="O37"/>
      <c r="P37" t="s">
        <v>72</v>
      </c>
      <c r="Q37">
        <v>4081</v>
      </c>
      <c r="R37">
        <v>4334</v>
      </c>
      <c r="S37">
        <v>4336</v>
      </c>
      <c r="T37">
        <v>4486</v>
      </c>
      <c r="U37">
        <v>4361</v>
      </c>
      <c r="V37">
        <v>3938</v>
      </c>
      <c r="W37">
        <v>3536</v>
      </c>
      <c r="X37">
        <v>3366</v>
      </c>
      <c r="Y37">
        <v>3309</v>
      </c>
      <c r="Z37">
        <v>2915</v>
      </c>
      <c r="AA37">
        <v>2719</v>
      </c>
    </row>
    <row r="38" spans="1:27">
      <c r="A38" t="s">
        <v>67</v>
      </c>
      <c r="B38" t="s">
        <v>69</v>
      </c>
      <c r="C38">
        <v>630</v>
      </c>
      <c r="D38">
        <v>649</v>
      </c>
      <c r="E38">
        <v>710</v>
      </c>
      <c r="F38">
        <v>734</v>
      </c>
      <c r="G38">
        <v>762</v>
      </c>
      <c r="H38">
        <v>768</v>
      </c>
      <c r="I38">
        <v>713</v>
      </c>
      <c r="J38">
        <v>714</v>
      </c>
      <c r="K38">
        <v>769</v>
      </c>
      <c r="L38">
        <v>737</v>
      </c>
      <c r="M38">
        <v>717</v>
      </c>
      <c r="O38" t="s">
        <v>67</v>
      </c>
      <c r="P38" t="s">
        <v>69</v>
      </c>
      <c r="Q38">
        <v>5654</v>
      </c>
      <c r="R38">
        <v>5509</v>
      </c>
      <c r="S38">
        <v>5250</v>
      </c>
      <c r="T38">
        <v>5099</v>
      </c>
      <c r="U38">
        <v>4942</v>
      </c>
      <c r="V38">
        <v>4507</v>
      </c>
      <c r="W38">
        <v>4268</v>
      </c>
      <c r="X38">
        <v>4122</v>
      </c>
      <c r="Y38">
        <v>4086</v>
      </c>
      <c r="Z38">
        <v>4059</v>
      </c>
      <c r="AA38">
        <v>3811</v>
      </c>
    </row>
    <row r="39" spans="1:27">
      <c r="A39"/>
      <c r="B39" t="s">
        <v>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O39"/>
      <c r="P39" t="s">
        <v>70</v>
      </c>
      <c r="Q39">
        <v>2</v>
      </c>
      <c r="R39">
        <v>4</v>
      </c>
      <c r="S39">
        <v>2</v>
      </c>
      <c r="T39">
        <v>5</v>
      </c>
      <c r="U39">
        <v>4</v>
      </c>
      <c r="V39">
        <v>6</v>
      </c>
      <c r="W39">
        <v>6</v>
      </c>
      <c r="X39">
        <v>2</v>
      </c>
      <c r="Y39">
        <v>6</v>
      </c>
      <c r="Z39">
        <v>15</v>
      </c>
      <c r="AA39">
        <v>7</v>
      </c>
    </row>
    <row r="40" spans="1:27">
      <c r="A40"/>
      <c r="B40" t="s">
        <v>71</v>
      </c>
      <c r="C40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>
        <v>324</v>
      </c>
      <c r="M40">
        <v>299</v>
      </c>
      <c r="O40"/>
      <c r="P40" t="s">
        <v>71</v>
      </c>
      <c r="Q40">
        <v>3711</v>
      </c>
      <c r="R40">
        <v>3556</v>
      </c>
      <c r="S40">
        <v>3209</v>
      </c>
      <c r="T40">
        <v>3097</v>
      </c>
      <c r="U40">
        <v>2986</v>
      </c>
      <c r="V40">
        <v>2753</v>
      </c>
      <c r="W40">
        <v>2696</v>
      </c>
      <c r="X40">
        <v>2585</v>
      </c>
      <c r="Y40">
        <v>2621</v>
      </c>
      <c r="Z40">
        <v>2744</v>
      </c>
      <c r="AA40">
        <v>2590</v>
      </c>
    </row>
    <row r="41" spans="1:27">
      <c r="A41"/>
      <c r="B41" t="s">
        <v>72</v>
      </c>
      <c r="C41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>
        <v>422</v>
      </c>
      <c r="M41">
        <v>430</v>
      </c>
      <c r="O41"/>
      <c r="P41" t="s">
        <v>72</v>
      </c>
      <c r="Q41">
        <v>2137</v>
      </c>
      <c r="R41">
        <v>2124</v>
      </c>
      <c r="S41">
        <v>2214</v>
      </c>
      <c r="T41">
        <v>2140</v>
      </c>
      <c r="U41">
        <v>2116</v>
      </c>
      <c r="V41">
        <v>1871</v>
      </c>
      <c r="W41">
        <v>1699</v>
      </c>
      <c r="X41">
        <v>1663</v>
      </c>
      <c r="Y41">
        <v>1564</v>
      </c>
      <c r="Z41">
        <v>1416</v>
      </c>
      <c r="AA41">
        <v>1301</v>
      </c>
    </row>
    <row r="42" spans="1:27">
      <c r="A42" t="s">
        <v>68</v>
      </c>
      <c r="B42" t="s">
        <v>69</v>
      </c>
      <c r="C42">
        <v>96</v>
      </c>
      <c r="D42">
        <v>102</v>
      </c>
      <c r="E42">
        <v>98</v>
      </c>
      <c r="F42">
        <v>139</v>
      </c>
      <c r="G42">
        <v>135</v>
      </c>
      <c r="H42">
        <v>146</v>
      </c>
      <c r="I42">
        <v>131</v>
      </c>
      <c r="J42">
        <v>124</v>
      </c>
      <c r="K42">
        <v>143</v>
      </c>
      <c r="L42">
        <v>169</v>
      </c>
      <c r="M42">
        <v>149</v>
      </c>
      <c r="O42" t="s">
        <v>68</v>
      </c>
      <c r="P42" t="s">
        <v>69</v>
      </c>
      <c r="Q42">
        <v>1549</v>
      </c>
      <c r="R42">
        <v>1450</v>
      </c>
      <c r="S42">
        <v>1412</v>
      </c>
      <c r="T42">
        <v>1318</v>
      </c>
      <c r="U42">
        <v>1421</v>
      </c>
      <c r="V42">
        <v>1218</v>
      </c>
      <c r="W42">
        <v>1210</v>
      </c>
      <c r="X42">
        <v>1203</v>
      </c>
      <c r="Y42">
        <v>1169</v>
      </c>
      <c r="Z42">
        <v>1150</v>
      </c>
      <c r="AA42">
        <v>1079</v>
      </c>
    </row>
    <row r="43" spans="1:27">
      <c r="A43"/>
      <c r="B43" t="s">
        <v>70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O43"/>
      <c r="P43" t="s">
        <v>70</v>
      </c>
      <c r="Q43">
        <v>3</v>
      </c>
      <c r="R43">
        <v>1</v>
      </c>
      <c r="S43">
        <v>1</v>
      </c>
      <c r="T43">
        <v>2</v>
      </c>
      <c r="U43">
        <v>0</v>
      </c>
      <c r="V43">
        <v>1</v>
      </c>
      <c r="W43">
        <v>2</v>
      </c>
      <c r="X43">
        <v>0</v>
      </c>
      <c r="Y43">
        <v>2</v>
      </c>
      <c r="Z43">
        <v>1</v>
      </c>
      <c r="AA43">
        <v>2</v>
      </c>
    </row>
    <row r="44" spans="1:27">
      <c r="A44"/>
      <c r="B44" t="s">
        <v>71</v>
      </c>
      <c r="C44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>
        <v>62</v>
      </c>
      <c r="M44">
        <v>56</v>
      </c>
      <c r="O44"/>
      <c r="P44" t="s">
        <v>71</v>
      </c>
      <c r="Q44">
        <v>1221</v>
      </c>
      <c r="R44">
        <v>1070</v>
      </c>
      <c r="S44">
        <v>997</v>
      </c>
      <c r="T44">
        <v>911</v>
      </c>
      <c r="U44">
        <v>1012</v>
      </c>
      <c r="V44">
        <v>838</v>
      </c>
      <c r="W44">
        <v>864</v>
      </c>
      <c r="X44">
        <v>883</v>
      </c>
      <c r="Y44">
        <v>877</v>
      </c>
      <c r="Z44">
        <v>867</v>
      </c>
      <c r="AA44">
        <v>828</v>
      </c>
    </row>
    <row r="45" spans="1:27">
      <c r="A45"/>
      <c r="B45" t="s">
        <v>72</v>
      </c>
      <c r="C45">
        <v>66</v>
      </c>
      <c r="D45">
        <v>67</v>
      </c>
      <c r="E45">
        <v>69</v>
      </c>
      <c r="F45">
        <v>98</v>
      </c>
      <c r="G45">
        <v>92</v>
      </c>
      <c r="H45">
        <v>101</v>
      </c>
      <c r="I45">
        <v>88</v>
      </c>
      <c r="J45">
        <v>84</v>
      </c>
      <c r="K45">
        <v>94</v>
      </c>
      <c r="L45">
        <v>107</v>
      </c>
      <c r="M45">
        <v>93</v>
      </c>
      <c r="O45"/>
      <c r="P45" t="s">
        <v>72</v>
      </c>
      <c r="Q45">
        <v>365</v>
      </c>
      <c r="R45">
        <v>410</v>
      </c>
      <c r="S45">
        <v>450</v>
      </c>
      <c r="T45">
        <v>446</v>
      </c>
      <c r="U45">
        <v>453</v>
      </c>
      <c r="V45">
        <v>416</v>
      </c>
      <c r="W45">
        <v>381</v>
      </c>
      <c r="X45">
        <v>357</v>
      </c>
      <c r="Y45">
        <v>316</v>
      </c>
      <c r="Z45">
        <v>299</v>
      </c>
      <c r="AA45">
        <v>282</v>
      </c>
    </row>
    <row r="47" spans="1:27">
      <c r="A47" s="94" t="s">
        <v>87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7"/>
      <c r="O47" s="109" t="s">
        <v>129</v>
      </c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</row>
    <row r="48" spans="1:27">
      <c r="A48" t="s">
        <v>84</v>
      </c>
      <c r="B48" t="s">
        <v>81</v>
      </c>
      <c r="C48" t="s">
        <v>109</v>
      </c>
      <c r="D48" t="s">
        <v>110</v>
      </c>
      <c r="E48" t="s">
        <v>111</v>
      </c>
      <c r="F48" t="s">
        <v>74</v>
      </c>
      <c r="G48" t="s">
        <v>75</v>
      </c>
      <c r="H48" t="s">
        <v>76</v>
      </c>
      <c r="I48" t="s">
        <v>77</v>
      </c>
      <c r="J48" t="s">
        <v>78</v>
      </c>
      <c r="K48" t="s">
        <v>79</v>
      </c>
      <c r="L48" t="s">
        <v>112</v>
      </c>
      <c r="M48" t="s">
        <v>113</v>
      </c>
      <c r="O48" t="s">
        <v>84</v>
      </c>
      <c r="P48" t="s">
        <v>81</v>
      </c>
      <c r="Q48" t="s">
        <v>109</v>
      </c>
      <c r="R48" t="s">
        <v>110</v>
      </c>
      <c r="S48" t="s">
        <v>111</v>
      </c>
      <c r="T48" t="s">
        <v>74</v>
      </c>
      <c r="U48" t="s">
        <v>75</v>
      </c>
      <c r="V48" t="s">
        <v>76</v>
      </c>
      <c r="W48" t="s">
        <v>77</v>
      </c>
      <c r="X48" t="s">
        <v>78</v>
      </c>
      <c r="Y48" t="s">
        <v>79</v>
      </c>
      <c r="Z48" t="s">
        <v>112</v>
      </c>
      <c r="AA48" t="s">
        <v>113</v>
      </c>
    </row>
    <row r="49" spans="1:27">
      <c r="A49" t="s">
        <v>64</v>
      </c>
      <c r="B49" t="s">
        <v>69</v>
      </c>
      <c r="C49">
        <v>23401</v>
      </c>
      <c r="D49">
        <v>21167</v>
      </c>
      <c r="E49">
        <v>19849</v>
      </c>
      <c r="F49">
        <v>19060</v>
      </c>
      <c r="G49">
        <v>17878</v>
      </c>
      <c r="H49">
        <v>17108</v>
      </c>
      <c r="I49">
        <v>16896</v>
      </c>
      <c r="J49">
        <v>16487</v>
      </c>
      <c r="K49">
        <v>16816</v>
      </c>
      <c r="L49">
        <v>16900</v>
      </c>
      <c r="M49">
        <v>16829</v>
      </c>
      <c r="O49" t="s">
        <v>64</v>
      </c>
      <c r="P49" t="s">
        <v>69</v>
      </c>
      <c r="Q49">
        <f>Q26-C26-Tabella7[[#This Row],[2019]]</f>
        <v>10937</v>
      </c>
      <c r="R49">
        <f>R26-D26-Tabella7[[#This Row],[2018]]</f>
        <v>11346</v>
      </c>
      <c r="S49">
        <f>S26-E26-Tabella7[[#This Row],[2017]]</f>
        <v>11659</v>
      </c>
      <c r="T49">
        <f>T26-F26-Tabella7[[#This Row],[2016]]</f>
        <v>11504</v>
      </c>
      <c r="U49">
        <f>U26-G26-Tabella7[[#This Row],[2015]]</f>
        <v>11290</v>
      </c>
      <c r="V49">
        <f>V26-H26-Tabella7[[#This Row],[2014]]</f>
        <v>9543</v>
      </c>
      <c r="W49">
        <f>W26-I26-Tabella7[[#This Row],[2013]]</f>
        <v>8418</v>
      </c>
      <c r="X49">
        <f>X26-J26-Tabella7[[#This Row],[2012]]</f>
        <v>7759</v>
      </c>
      <c r="Y49">
        <f>Y26-K26-Tabella7[[#This Row],[2011]]</f>
        <v>7106</v>
      </c>
      <c r="Z49">
        <f>Z26-L26-Tabella7[[#This Row],[2010]]</f>
        <v>6224</v>
      </c>
      <c r="AA49">
        <f>AA26-M26-Tabella7[[#This Row],[2009]]</f>
        <v>5587</v>
      </c>
    </row>
    <row r="50" spans="1:27">
      <c r="A50"/>
      <c r="B50" t="s">
        <v>70</v>
      </c>
      <c r="C50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>
        <v>36</v>
      </c>
      <c r="M50">
        <v>40</v>
      </c>
      <c r="O50"/>
      <c r="P50" t="s">
        <v>70</v>
      </c>
      <c r="Q50">
        <f>Q27-C27-Tabella7[[#This Row],[2019]]</f>
        <v>2</v>
      </c>
      <c r="R50">
        <f>R27-D27-Tabella7[[#This Row],[2018]]</f>
        <v>1</v>
      </c>
      <c r="S50">
        <f>S27-E27-Tabella7[[#This Row],[2017]]</f>
        <v>2</v>
      </c>
      <c r="T50">
        <f>T27-F27-Tabella7[[#This Row],[2016]]</f>
        <v>8</v>
      </c>
      <c r="U50">
        <f>U27-G27-Tabella7[[#This Row],[2015]]</f>
        <v>2</v>
      </c>
      <c r="V50">
        <f>V27-H27-Tabella7[[#This Row],[2014]]</f>
        <v>5</v>
      </c>
      <c r="W50">
        <f>W27-I27-Tabella7[[#This Row],[2013]]</f>
        <v>4</v>
      </c>
      <c r="X50">
        <f>X27-J27-Tabella7[[#This Row],[2012]]</f>
        <v>3</v>
      </c>
      <c r="Y50">
        <f>Y27-K27-Tabella7[[#This Row],[2011]]</f>
        <v>8</v>
      </c>
      <c r="Z50">
        <f>Z27-L27-Tabella7[[#This Row],[2010]]</f>
        <v>9</v>
      </c>
      <c r="AA50">
        <f>AA27-M27-Tabella7[[#This Row],[2009]]</f>
        <v>12</v>
      </c>
    </row>
    <row r="51" spans="1:27">
      <c r="A51"/>
      <c r="B51" t="s">
        <v>71</v>
      </c>
      <c r="C51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>
        <v>14734</v>
      </c>
      <c r="M51">
        <v>14626</v>
      </c>
      <c r="O51"/>
      <c r="P51" t="s">
        <v>71</v>
      </c>
      <c r="Q51">
        <f>Q28-C28-Tabella7[[#This Row],[2019]]</f>
        <v>2993</v>
      </c>
      <c r="R51">
        <f>R28-D28-Tabella7[[#This Row],[2018]]</f>
        <v>2919</v>
      </c>
      <c r="S51">
        <f>S28-E28-Tabella7[[#This Row],[2017]]</f>
        <v>3011</v>
      </c>
      <c r="T51">
        <f>T28-F28-Tabella7[[#This Row],[2016]]</f>
        <v>2841</v>
      </c>
      <c r="U51">
        <f>U28-G28-Tabella7[[#This Row],[2015]]</f>
        <v>3033</v>
      </c>
      <c r="V51">
        <f>V28-H28-Tabella7[[#This Row],[2014]]</f>
        <v>2638</v>
      </c>
      <c r="W51">
        <f>W28-I28-Tabella7[[#This Row],[2013]]</f>
        <v>2709</v>
      </c>
      <c r="X51">
        <f>X28-J28-Tabella7[[#This Row],[2012]]</f>
        <v>2511</v>
      </c>
      <c r="Y51">
        <f>Y28-K28-Tabella7[[#This Row],[2011]]</f>
        <v>2522</v>
      </c>
      <c r="Z51">
        <f>Z28-L28-Tabella7[[#This Row],[2010]]</f>
        <v>2471</v>
      </c>
      <c r="AA51">
        <f>AA28-M28-Tabella7[[#This Row],[2009]]</f>
        <v>2405</v>
      </c>
    </row>
    <row r="52" spans="1:27">
      <c r="A52"/>
      <c r="B52" t="s">
        <v>72</v>
      </c>
      <c r="C52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>
        <v>1156</v>
      </c>
      <c r="M52">
        <v>985</v>
      </c>
      <c r="O52"/>
      <c r="P52" t="s">
        <v>72</v>
      </c>
      <c r="Q52">
        <f>Q29-C29-Tabella7[[#This Row],[2019]]</f>
        <v>9135</v>
      </c>
      <c r="R52">
        <f>R29-D29-Tabella7[[#This Row],[2018]]</f>
        <v>9563</v>
      </c>
      <c r="S52">
        <f>S29-E29-Tabella7[[#This Row],[2017]]</f>
        <v>9744</v>
      </c>
      <c r="T52">
        <f>T29-F29-Tabella7[[#This Row],[2016]]</f>
        <v>9753</v>
      </c>
      <c r="U52">
        <f>U29-G29-Tabella7[[#This Row],[2015]]</f>
        <v>9360</v>
      </c>
      <c r="V52">
        <f>V29-H29-Tabella7[[#This Row],[2014]]</f>
        <v>8117</v>
      </c>
      <c r="W52">
        <f>W29-I29-Tabella7[[#This Row],[2013]]</f>
        <v>7091</v>
      </c>
      <c r="X52">
        <f>X29-J29-Tabella7[[#This Row],[2012]]</f>
        <v>6606</v>
      </c>
      <c r="Y52">
        <f>Y29-K29-Tabella7[[#This Row],[2011]]</f>
        <v>6017</v>
      </c>
      <c r="Z52">
        <f>Z29-L29-Tabella7[[#This Row],[2010]]</f>
        <v>5381</v>
      </c>
      <c r="AA52">
        <f>AA29-M29-Tabella7[[#This Row],[2009]]</f>
        <v>4968</v>
      </c>
    </row>
    <row r="53" spans="1:27">
      <c r="A53" t="s">
        <v>65</v>
      </c>
      <c r="B53" t="s">
        <v>69</v>
      </c>
      <c r="C53">
        <v>10616</v>
      </c>
      <c r="D53">
        <v>9523</v>
      </c>
      <c r="E53">
        <v>8995</v>
      </c>
      <c r="F53">
        <v>8612</v>
      </c>
      <c r="G53">
        <v>8088</v>
      </c>
      <c r="H53">
        <v>7659</v>
      </c>
      <c r="I53">
        <v>7631</v>
      </c>
      <c r="J53">
        <v>7314</v>
      </c>
      <c r="K53">
        <v>7606</v>
      </c>
      <c r="L53">
        <v>7637</v>
      </c>
      <c r="M53">
        <v>7604</v>
      </c>
      <c r="O53" t="s">
        <v>65</v>
      </c>
      <c r="P53" t="s">
        <v>69</v>
      </c>
      <c r="Q53">
        <f>Q30-C30-Tabella7[[#This Row],[2019]]</f>
        <v>5714</v>
      </c>
      <c r="R53">
        <f>R30-D30-Tabella7[[#This Row],[2018]]</f>
        <v>5886</v>
      </c>
      <c r="S53">
        <f>S30-E30-Tabella7[[#This Row],[2017]]</f>
        <v>6044</v>
      </c>
      <c r="T53">
        <f>T30-F30-Tabella7[[#This Row],[2016]]</f>
        <v>5964</v>
      </c>
      <c r="U53">
        <f>U30-G30-Tabella7[[#This Row],[2015]]</f>
        <v>5820</v>
      </c>
      <c r="V53">
        <f>V30-H30-Tabella7[[#This Row],[2014]]</f>
        <v>4963</v>
      </c>
      <c r="W53">
        <f>W30-I30-Tabella7[[#This Row],[2013]]</f>
        <v>4313</v>
      </c>
      <c r="X53">
        <f>X30-J30-Tabella7[[#This Row],[2012]]</f>
        <v>4005</v>
      </c>
      <c r="Y53">
        <f>Y30-K30-Tabella7[[#This Row],[2011]]</f>
        <v>3642</v>
      </c>
      <c r="Z53">
        <f>Z30-L30-Tabella7[[#This Row],[2010]]</f>
        <v>3305</v>
      </c>
      <c r="AA53">
        <f>AA30-M30-Tabella7[[#This Row],[2009]]</f>
        <v>3006</v>
      </c>
    </row>
    <row r="54" spans="1:27">
      <c r="A54"/>
      <c r="B54" t="s">
        <v>70</v>
      </c>
      <c r="C54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>
        <v>12</v>
      </c>
      <c r="M54">
        <v>23</v>
      </c>
      <c r="O54"/>
      <c r="P54" t="s">
        <v>70</v>
      </c>
      <c r="Q54">
        <f>Q31-C31-Tabella7[[#This Row],[2019]]</f>
        <v>0</v>
      </c>
      <c r="R54">
        <f>R31-D31-Tabella7[[#This Row],[2018]]</f>
        <v>0</v>
      </c>
      <c r="S54">
        <f>S31-E31-Tabella7[[#This Row],[2017]]</f>
        <v>2</v>
      </c>
      <c r="T54">
        <f>T31-F31-Tabella7[[#This Row],[2016]]</f>
        <v>5</v>
      </c>
      <c r="U54">
        <f>U31-G31-Tabella7[[#This Row],[2015]]</f>
        <v>2</v>
      </c>
      <c r="V54">
        <f>V31-H31-Tabella7[[#This Row],[2014]]</f>
        <v>5</v>
      </c>
      <c r="W54">
        <f>W31-I31-Tabella7[[#This Row],[2013]]</f>
        <v>0</v>
      </c>
      <c r="X54">
        <f>X31-J31-Tabella7[[#This Row],[2012]]</f>
        <v>2</v>
      </c>
      <c r="Y54">
        <f>Y31-K31-Tabella7[[#This Row],[2011]]</f>
        <v>5</v>
      </c>
      <c r="Z54">
        <f>Z31-L31-Tabella7[[#This Row],[2010]]</f>
        <v>4</v>
      </c>
      <c r="AA54">
        <f>AA31-M31-Tabella7[[#This Row],[2009]]</f>
        <v>10</v>
      </c>
    </row>
    <row r="55" spans="1:27">
      <c r="A55"/>
      <c r="B55" t="s">
        <v>71</v>
      </c>
      <c r="C55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>
        <v>6679</v>
      </c>
      <c r="M55">
        <v>6642</v>
      </c>
      <c r="O55"/>
      <c r="P55" t="s">
        <v>71</v>
      </c>
      <c r="Q55">
        <f>Q32-C32-Tabella7[[#This Row],[2019]]</f>
        <v>1564</v>
      </c>
      <c r="R55">
        <f>R32-D32-Tabella7[[#This Row],[2018]]</f>
        <v>1518</v>
      </c>
      <c r="S55">
        <f>S32-E32-Tabella7[[#This Row],[2017]]</f>
        <v>1566</v>
      </c>
      <c r="T55">
        <f>T32-F32-Tabella7[[#This Row],[2016]]</f>
        <v>1493</v>
      </c>
      <c r="U55">
        <f>U32-G32-Tabella7[[#This Row],[2015]]</f>
        <v>1581</v>
      </c>
      <c r="V55">
        <f>V32-H32-Tabella7[[#This Row],[2014]]</f>
        <v>1407</v>
      </c>
      <c r="W55">
        <f>W32-I32-Tabella7[[#This Row],[2013]]</f>
        <v>1360</v>
      </c>
      <c r="X55">
        <f>X32-J32-Tabella7[[#This Row],[2012]]</f>
        <v>1307</v>
      </c>
      <c r="Y55">
        <f>Y32-K32-Tabella7[[#This Row],[2011]]</f>
        <v>1298</v>
      </c>
      <c r="Z55">
        <f>Z32-L32-Tabella7[[#This Row],[2010]]</f>
        <v>1301</v>
      </c>
      <c r="AA55">
        <f>AA32-M32-Tabella7[[#This Row],[2009]]</f>
        <v>1219</v>
      </c>
    </row>
    <row r="56" spans="1:27">
      <c r="A56"/>
      <c r="B56" t="s">
        <v>72</v>
      </c>
      <c r="C5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>
        <v>516</v>
      </c>
      <c r="M56">
        <v>436</v>
      </c>
      <c r="O56"/>
      <c r="P56" t="s">
        <v>72</v>
      </c>
      <c r="Q56">
        <f>Q33-C33-Tabella7[[#This Row],[2019]]</f>
        <v>4736</v>
      </c>
      <c r="R56">
        <f>R33-D33-Tabella7[[#This Row],[2018]]</f>
        <v>4925</v>
      </c>
      <c r="S56">
        <f>S33-E33-Tabella7[[#This Row],[2017]]</f>
        <v>5008</v>
      </c>
      <c r="T56">
        <f>T33-F33-Tabella7[[#This Row],[2016]]</f>
        <v>4999</v>
      </c>
      <c r="U56">
        <f>U33-G33-Tabella7[[#This Row],[2015]]</f>
        <v>4755</v>
      </c>
      <c r="V56">
        <f>V33-H33-Tabella7[[#This Row],[2014]]</f>
        <v>4142</v>
      </c>
      <c r="W56">
        <f>W33-I33-Tabella7[[#This Row],[2013]]</f>
        <v>3577</v>
      </c>
      <c r="X56">
        <f>X33-J33-Tabella7[[#This Row],[2012]]</f>
        <v>3309</v>
      </c>
      <c r="Y56">
        <f>Y33-K33-Tabella7[[#This Row],[2011]]</f>
        <v>3013</v>
      </c>
      <c r="Z56">
        <f>Z33-L33-Tabella7[[#This Row],[2010]]</f>
        <v>2757</v>
      </c>
      <c r="AA56">
        <f>AA33-M33-Tabella7[[#This Row],[2009]]</f>
        <v>2576</v>
      </c>
    </row>
    <row r="57" spans="1:27">
      <c r="A57" t="s">
        <v>66</v>
      </c>
      <c r="B57" t="s">
        <v>69</v>
      </c>
      <c r="C57">
        <v>8372</v>
      </c>
      <c r="D57">
        <v>7553</v>
      </c>
      <c r="E57">
        <v>7214</v>
      </c>
      <c r="F57">
        <v>7001</v>
      </c>
      <c r="G57">
        <v>6470</v>
      </c>
      <c r="H57">
        <v>6364</v>
      </c>
      <c r="I57">
        <v>6254</v>
      </c>
      <c r="J57">
        <v>6150</v>
      </c>
      <c r="K57">
        <v>6227</v>
      </c>
      <c r="L57">
        <v>6124</v>
      </c>
      <c r="M57">
        <v>6236</v>
      </c>
      <c r="O57" t="s">
        <v>66</v>
      </c>
      <c r="P57" t="s">
        <v>69</v>
      </c>
      <c r="Q57">
        <f>Q34-C34-Tabella7[[#This Row],[2019]]</f>
        <v>3159</v>
      </c>
      <c r="R57">
        <f>R34-D34-Tabella7[[#This Row],[2018]]</f>
        <v>3344</v>
      </c>
      <c r="S57">
        <f>S34-E34-Tabella7[[#This Row],[2017]]</f>
        <v>3401</v>
      </c>
      <c r="T57">
        <f>T34-F34-Tabella7[[#This Row],[2016]]</f>
        <v>3443</v>
      </c>
      <c r="U57">
        <f>U34-G34-Tabella7[[#This Row],[2015]]</f>
        <v>3324</v>
      </c>
      <c r="V57">
        <f>V34-H34-Tabella7[[#This Row],[2014]]</f>
        <v>2854</v>
      </c>
      <c r="W57">
        <f>W34-I34-Tabella7[[#This Row],[2013]]</f>
        <v>2482</v>
      </c>
      <c r="X57">
        <f>X34-J34-Tabella7[[#This Row],[2012]]</f>
        <v>2291</v>
      </c>
      <c r="Y57">
        <f>Y34-K34-Tabella7[[#This Row],[2011]]</f>
        <v>2106</v>
      </c>
      <c r="Z57">
        <f>Z34-L34-Tabella7[[#This Row],[2010]]</f>
        <v>1755</v>
      </c>
      <c r="AA57">
        <f>AA34-M34-Tabella7[[#This Row],[2009]]</f>
        <v>1546</v>
      </c>
    </row>
    <row r="58" spans="1:27">
      <c r="A58"/>
      <c r="B58" t="s">
        <v>70</v>
      </c>
      <c r="C58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>
        <v>14</v>
      </c>
      <c r="M58">
        <v>10</v>
      </c>
      <c r="O58"/>
      <c r="P58" t="s">
        <v>70</v>
      </c>
      <c r="Q58">
        <f>Q35-C35-Tabella7[[#This Row],[2019]]</f>
        <v>2</v>
      </c>
      <c r="R58">
        <f>R35-D35-Tabella7[[#This Row],[2018]]</f>
        <v>0</v>
      </c>
      <c r="S58">
        <f>S35-E35-Tabella7[[#This Row],[2017]]</f>
        <v>0</v>
      </c>
      <c r="T58">
        <f>T35-F35-Tabella7[[#This Row],[2016]]</f>
        <v>1</v>
      </c>
      <c r="U58">
        <f>U35-G35-Tabella7[[#This Row],[2015]]</f>
        <v>0</v>
      </c>
      <c r="V58">
        <f>V35-H35-Tabella7[[#This Row],[2014]]</f>
        <v>0</v>
      </c>
      <c r="W58">
        <f>W35-I35-Tabella7[[#This Row],[2013]]</f>
        <v>3</v>
      </c>
      <c r="X58">
        <f>X35-J35-Tabella7[[#This Row],[2012]]</f>
        <v>1</v>
      </c>
      <c r="Y58">
        <f>Y35-K35-Tabella7[[#This Row],[2011]]</f>
        <v>2</v>
      </c>
      <c r="Z58">
        <f>Z35-L35-Tabella7[[#This Row],[2010]]</f>
        <v>3</v>
      </c>
      <c r="AA58">
        <f>AA35-M35-Tabella7[[#This Row],[2009]]</f>
        <v>1</v>
      </c>
    </row>
    <row r="59" spans="1:27">
      <c r="A59"/>
      <c r="B59" t="s">
        <v>71</v>
      </c>
      <c r="C59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>
        <v>5283</v>
      </c>
      <c r="M59">
        <v>5358</v>
      </c>
      <c r="O59"/>
      <c r="P59" t="s">
        <v>71</v>
      </c>
      <c r="Q59">
        <f>Q36-C36-Tabella7[[#This Row],[2019]]</f>
        <v>864</v>
      </c>
      <c r="R59">
        <f>R36-D36-Tabella7[[#This Row],[2018]]</f>
        <v>840</v>
      </c>
      <c r="S59">
        <f>S36-E36-Tabella7[[#This Row],[2017]]</f>
        <v>917</v>
      </c>
      <c r="T59">
        <f>T36-F36-Tabella7[[#This Row],[2016]]</f>
        <v>847</v>
      </c>
      <c r="U59">
        <f>U36-G36-Tabella7[[#This Row],[2015]]</f>
        <v>842</v>
      </c>
      <c r="V59">
        <f>V36-H36-Tabella7[[#This Row],[2014]]</f>
        <v>810</v>
      </c>
      <c r="W59">
        <f>W36-I36-Tabella7[[#This Row],[2013]]</f>
        <v>835</v>
      </c>
      <c r="X59">
        <f>X36-J36-Tabella7[[#This Row],[2012]]</f>
        <v>756</v>
      </c>
      <c r="Y59">
        <f>Y36-K36-Tabella7[[#This Row],[2011]]</f>
        <v>759</v>
      </c>
      <c r="Z59">
        <f>Z36-L36-Tabella7[[#This Row],[2010]]</f>
        <v>717</v>
      </c>
      <c r="AA59">
        <f>AA36-M36-Tabella7[[#This Row],[2009]]</f>
        <v>749</v>
      </c>
    </row>
    <row r="60" spans="1:27">
      <c r="A60"/>
      <c r="B60" t="s">
        <v>72</v>
      </c>
      <c r="C60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>
        <v>434</v>
      </c>
      <c r="M60">
        <v>387</v>
      </c>
      <c r="O60"/>
      <c r="P60" t="s">
        <v>72</v>
      </c>
      <c r="Q60">
        <f>Q37-C37-Tabella7[[#This Row],[2019]]</f>
        <v>2670</v>
      </c>
      <c r="R60">
        <f>R37-D37-Tabella7[[#This Row],[2018]]</f>
        <v>2872</v>
      </c>
      <c r="S60">
        <f>S37-E37-Tabella7[[#This Row],[2017]]</f>
        <v>2841</v>
      </c>
      <c r="T60">
        <f>T37-F37-Tabella7[[#This Row],[2016]]</f>
        <v>2966</v>
      </c>
      <c r="U60">
        <f>U37-G37-Tabella7[[#This Row],[2015]]</f>
        <v>2862</v>
      </c>
      <c r="V60">
        <f>V37-H37-Tabella7[[#This Row],[2014]]</f>
        <v>2484</v>
      </c>
      <c r="W60">
        <f>W37-I37-Tabella7[[#This Row],[2013]]</f>
        <v>2154</v>
      </c>
      <c r="X60">
        <f>X37-J37-Tabella7[[#This Row],[2012]]</f>
        <v>2028</v>
      </c>
      <c r="Y60">
        <f>Y37-K37-Tabella7[[#This Row],[2011]]</f>
        <v>1892</v>
      </c>
      <c r="Z60">
        <f>Z37-L37-Tabella7[[#This Row],[2010]]</f>
        <v>1644</v>
      </c>
      <c r="AA60">
        <f>AA37-M37-Tabella7[[#This Row],[2009]]</f>
        <v>1494</v>
      </c>
    </row>
    <row r="61" spans="1:27">
      <c r="A61" t="s">
        <v>67</v>
      </c>
      <c r="B61" t="s">
        <v>69</v>
      </c>
      <c r="C61">
        <v>3233</v>
      </c>
      <c r="D61">
        <v>3061</v>
      </c>
      <c r="E61">
        <v>2672</v>
      </c>
      <c r="F61">
        <v>2587</v>
      </c>
      <c r="G61">
        <v>2366</v>
      </c>
      <c r="H61">
        <v>2284</v>
      </c>
      <c r="I61">
        <v>2196</v>
      </c>
      <c r="J61">
        <v>2164</v>
      </c>
      <c r="K61">
        <v>2164</v>
      </c>
      <c r="L61">
        <v>2314</v>
      </c>
      <c r="M61">
        <v>2191</v>
      </c>
      <c r="O61" t="s">
        <v>67</v>
      </c>
      <c r="P61" t="s">
        <v>69</v>
      </c>
      <c r="Q61">
        <f>Q38-C38-Tabella7[[#This Row],[2019]]</f>
        <v>1791</v>
      </c>
      <c r="R61">
        <f>R38-D38-Tabella7[[#This Row],[2018]]</f>
        <v>1799</v>
      </c>
      <c r="S61">
        <f>S38-E38-Tabella7[[#This Row],[2017]]</f>
        <v>1868</v>
      </c>
      <c r="T61">
        <f>T38-F38-Tabella7[[#This Row],[2016]]</f>
        <v>1778</v>
      </c>
      <c r="U61">
        <f>U38-G38-Tabella7[[#This Row],[2015]]</f>
        <v>1814</v>
      </c>
      <c r="V61">
        <f>V38-H38-Tabella7[[#This Row],[2014]]</f>
        <v>1455</v>
      </c>
      <c r="W61">
        <f>W38-I38-Tabella7[[#This Row],[2013]]</f>
        <v>1359</v>
      </c>
      <c r="X61">
        <f>X38-J38-Tabella7[[#This Row],[2012]]</f>
        <v>1244</v>
      </c>
      <c r="Y61">
        <f>Y38-K38-Tabella7[[#This Row],[2011]]</f>
        <v>1153</v>
      </c>
      <c r="Z61">
        <f>Z38-L38-Tabella7[[#This Row],[2010]]</f>
        <v>1008</v>
      </c>
      <c r="AA61">
        <f>AA38-M38-Tabella7[[#This Row],[2009]]</f>
        <v>903</v>
      </c>
    </row>
    <row r="62" spans="1:27">
      <c r="A62"/>
      <c r="B62" t="s">
        <v>70</v>
      </c>
      <c r="C62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>
        <v>10</v>
      </c>
      <c r="M62">
        <v>6</v>
      </c>
      <c r="O62"/>
      <c r="P62" t="s">
        <v>70</v>
      </c>
      <c r="Q62">
        <f>Q39-C39-Tabella7[[#This Row],[2019]]</f>
        <v>0</v>
      </c>
      <c r="R62">
        <f>R39-D39-Tabella7[[#This Row],[2018]]</f>
        <v>0</v>
      </c>
      <c r="S62">
        <f>S39-E39-Tabella7[[#This Row],[2017]]</f>
        <v>0</v>
      </c>
      <c r="T62">
        <f>T39-F39-Tabella7[[#This Row],[2016]]</f>
        <v>0</v>
      </c>
      <c r="U62">
        <f>U39-G39-Tabella7[[#This Row],[2015]]</f>
        <v>0</v>
      </c>
      <c r="V62">
        <f>V39-H39-Tabella7[[#This Row],[2014]]</f>
        <v>0</v>
      </c>
      <c r="W62">
        <f>W39-I39-Tabella7[[#This Row],[2013]]</f>
        <v>1</v>
      </c>
      <c r="X62">
        <f>X39-J39-Tabella7[[#This Row],[2012]]</f>
        <v>0</v>
      </c>
      <c r="Y62">
        <f>Y39-K39-Tabella7[[#This Row],[2011]]</f>
        <v>1</v>
      </c>
      <c r="Z62">
        <f>Z39-L39-Tabella7[[#This Row],[2010]]</f>
        <v>2</v>
      </c>
      <c r="AA62">
        <f>AA39-M39-Tabella7[[#This Row],[2009]]</f>
        <v>1</v>
      </c>
    </row>
    <row r="63" spans="1:27">
      <c r="A63"/>
      <c r="B63" t="s">
        <v>71</v>
      </c>
      <c r="C63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>
        <v>2041</v>
      </c>
      <c r="M63">
        <v>1919</v>
      </c>
      <c r="O63"/>
      <c r="P63" t="s">
        <v>71</v>
      </c>
      <c r="Q63">
        <f>Q40-C40-Tabella7[[#This Row],[2019]]</f>
        <v>478</v>
      </c>
      <c r="R63">
        <f>R40-D40-Tabella7[[#This Row],[2018]]</f>
        <v>478</v>
      </c>
      <c r="S63">
        <f>S40-E40-Tabella7[[#This Row],[2017]]</f>
        <v>457</v>
      </c>
      <c r="T63">
        <f>T40-F40-Tabella7[[#This Row],[2016]]</f>
        <v>429</v>
      </c>
      <c r="U63">
        <f>U40-G40-Tabella7[[#This Row],[2015]]</f>
        <v>525</v>
      </c>
      <c r="V63">
        <f>V40-H40-Tabella7[[#This Row],[2014]]</f>
        <v>357</v>
      </c>
      <c r="W63">
        <f>W40-I40-Tabella7[[#This Row],[2013]]</f>
        <v>439</v>
      </c>
      <c r="X63">
        <f>X40-J40-Tabella7[[#This Row],[2012]]</f>
        <v>380</v>
      </c>
      <c r="Y63">
        <f>Y40-K40-Tabella7[[#This Row],[2011]]</f>
        <v>385</v>
      </c>
      <c r="Z63">
        <f>Z40-L40-Tabella7[[#This Row],[2010]]</f>
        <v>379</v>
      </c>
      <c r="AA63">
        <f>AA40-M40-Tabella7[[#This Row],[2009]]</f>
        <v>372</v>
      </c>
    </row>
    <row r="64" spans="1:27">
      <c r="A64"/>
      <c r="B64" t="s">
        <v>72</v>
      </c>
      <c r="C64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>
        <v>149</v>
      </c>
      <c r="M64">
        <v>120</v>
      </c>
      <c r="O64"/>
      <c r="P64" t="s">
        <v>72</v>
      </c>
      <c r="Q64">
        <f>Q41-C41-Tabella7[[#This Row],[2019]]</f>
        <v>1498</v>
      </c>
      <c r="R64">
        <f>R41-D41-Tabella7[[#This Row],[2018]]</f>
        <v>1499</v>
      </c>
      <c r="S64">
        <f>S41-E41-Tabella7[[#This Row],[2017]]</f>
        <v>1584</v>
      </c>
      <c r="T64">
        <f>T41-F41-Tabella7[[#This Row],[2016]]</f>
        <v>1496</v>
      </c>
      <c r="U64">
        <f>U41-G41-Tabella7[[#This Row],[2015]]</f>
        <v>1450</v>
      </c>
      <c r="V64">
        <f>V41-H41-Tabella7[[#This Row],[2014]]</f>
        <v>1231</v>
      </c>
      <c r="W64">
        <f>W41-I41-Tabella7[[#This Row],[2013]]</f>
        <v>1116</v>
      </c>
      <c r="X64">
        <f>X41-J41-Tabella7[[#This Row],[2012]]</f>
        <v>1056</v>
      </c>
      <c r="Y64">
        <f>Y41-K41-Tabella7[[#This Row],[2011]]</f>
        <v>940</v>
      </c>
      <c r="Z64">
        <f>Z41-L41-Tabella7[[#This Row],[2010]]</f>
        <v>845</v>
      </c>
      <c r="AA64">
        <f>AA41-M41-Tabella7[[#This Row],[2009]]</f>
        <v>751</v>
      </c>
    </row>
    <row r="65" spans="1:27">
      <c r="A65" t="s">
        <v>68</v>
      </c>
      <c r="B65" t="s">
        <v>69</v>
      </c>
      <c r="C65">
        <v>1180</v>
      </c>
      <c r="D65">
        <v>1030</v>
      </c>
      <c r="E65">
        <v>968</v>
      </c>
      <c r="F65">
        <v>860</v>
      </c>
      <c r="G65">
        <v>954</v>
      </c>
      <c r="H65">
        <v>801</v>
      </c>
      <c r="I65">
        <v>815</v>
      </c>
      <c r="J65">
        <v>859</v>
      </c>
      <c r="K65">
        <v>819</v>
      </c>
      <c r="L65">
        <v>825</v>
      </c>
      <c r="M65">
        <v>798</v>
      </c>
      <c r="O65" t="s">
        <v>68</v>
      </c>
      <c r="P65" t="s">
        <v>69</v>
      </c>
      <c r="Q65">
        <f>Q42-C42-Tabella7[[#This Row],[2019]]</f>
        <v>273</v>
      </c>
      <c r="R65">
        <f>R42-D42-Tabella7[[#This Row],[2018]]</f>
        <v>318</v>
      </c>
      <c r="S65">
        <f>S42-E42-Tabella7[[#This Row],[2017]]</f>
        <v>346</v>
      </c>
      <c r="T65">
        <f>T42-F42-Tabella7[[#This Row],[2016]]</f>
        <v>319</v>
      </c>
      <c r="U65">
        <f>U42-G42-Tabella7[[#This Row],[2015]]</f>
        <v>332</v>
      </c>
      <c r="V65">
        <f>V42-H42-Tabella7[[#This Row],[2014]]</f>
        <v>271</v>
      </c>
      <c r="W65">
        <f>W42-I42-Tabella7[[#This Row],[2013]]</f>
        <v>264</v>
      </c>
      <c r="X65">
        <f>X42-J42-Tabella7[[#This Row],[2012]]</f>
        <v>220</v>
      </c>
      <c r="Y65">
        <f>Y42-K42-Tabella7[[#This Row],[2011]]</f>
        <v>207</v>
      </c>
      <c r="Z65">
        <f>Z42-L42-Tabella7[[#This Row],[2010]]</f>
        <v>156</v>
      </c>
      <c r="AA65">
        <f>AA42-M42-Tabella7[[#This Row],[2009]]</f>
        <v>132</v>
      </c>
    </row>
    <row r="66" spans="1:27">
      <c r="A66"/>
      <c r="B66" t="s">
        <v>70</v>
      </c>
      <c r="C6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1</v>
      </c>
      <c r="O66"/>
      <c r="P66" t="s">
        <v>70</v>
      </c>
      <c r="Q66">
        <f>Q43-C43-Tabella7[[#This Row],[2019]]</f>
        <v>0</v>
      </c>
      <c r="R66">
        <f>R43-D43-Tabella7[[#This Row],[2018]]</f>
        <v>1</v>
      </c>
      <c r="S66">
        <f>S43-E43-Tabella7[[#This Row],[2017]]</f>
        <v>0</v>
      </c>
      <c r="T66">
        <f>T43-F43-Tabella7[[#This Row],[2016]]</f>
        <v>2</v>
      </c>
      <c r="U66">
        <f>U43-G43-Tabella7[[#This Row],[2015]]</f>
        <v>0</v>
      </c>
      <c r="V66">
        <f>V43-H43-Tabella7[[#This Row],[2014]]</f>
        <v>0</v>
      </c>
      <c r="W66">
        <f>W43-I43-Tabella7[[#This Row],[2013]]</f>
        <v>0</v>
      </c>
      <c r="X66">
        <f>X43-J43-Tabella7[[#This Row],[2012]]</f>
        <v>0</v>
      </c>
      <c r="Y66">
        <f>Y43-K43-Tabella7[[#This Row],[2011]]</f>
        <v>0</v>
      </c>
      <c r="Z66">
        <f>Z43-L43-Tabella7[[#This Row],[2010]]</f>
        <v>0</v>
      </c>
      <c r="AA66">
        <f>AA43-M43-Tabella7[[#This Row],[2009]]</f>
        <v>0</v>
      </c>
    </row>
    <row r="67" spans="1:27">
      <c r="A67"/>
      <c r="B67" t="s">
        <v>71</v>
      </c>
      <c r="C6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>
        <v>731</v>
      </c>
      <c r="M67">
        <v>707</v>
      </c>
      <c r="O67"/>
      <c r="P67" t="s">
        <v>71</v>
      </c>
      <c r="Q67">
        <f>Q44-C44-Tabella7[[#This Row],[2019]]</f>
        <v>87</v>
      </c>
      <c r="R67">
        <f>R44-D44-Tabella7[[#This Row],[2018]]</f>
        <v>83</v>
      </c>
      <c r="S67">
        <f>S44-E44-Tabella7[[#This Row],[2017]]</f>
        <v>71</v>
      </c>
      <c r="T67">
        <f>T44-F44-Tabella7[[#This Row],[2016]]</f>
        <v>72</v>
      </c>
      <c r="U67">
        <f>U44-G44-Tabella7[[#This Row],[2015]]</f>
        <v>85</v>
      </c>
      <c r="V67">
        <f>V44-H44-Tabella7[[#This Row],[2014]]</f>
        <v>64</v>
      </c>
      <c r="W67">
        <f>W44-I44-Tabella7[[#This Row],[2013]]</f>
        <v>75</v>
      </c>
      <c r="X67">
        <f>X44-J44-Tabella7[[#This Row],[2012]]</f>
        <v>68</v>
      </c>
      <c r="Y67">
        <f>Y44-K44-Tabella7[[#This Row],[2011]]</f>
        <v>82</v>
      </c>
      <c r="Z67">
        <f>Z44-L44-Tabella7[[#This Row],[2010]]</f>
        <v>74</v>
      </c>
      <c r="AA67">
        <f>AA44-M44-Tabella7[[#This Row],[2009]]</f>
        <v>65</v>
      </c>
    </row>
    <row r="68" spans="1:27">
      <c r="A68"/>
      <c r="B68" t="s">
        <v>72</v>
      </c>
      <c r="C68">
        <v>68</v>
      </c>
      <c r="D68">
        <v>75</v>
      </c>
      <c r="E68">
        <v>70</v>
      </c>
      <c r="F68">
        <v>56</v>
      </c>
      <c r="G68">
        <v>68</v>
      </c>
      <c r="H68">
        <v>55</v>
      </c>
      <c r="I68">
        <v>49</v>
      </c>
      <c r="J68">
        <v>60</v>
      </c>
      <c r="K68">
        <v>50</v>
      </c>
      <c r="L68">
        <v>57</v>
      </c>
      <c r="M68">
        <v>42</v>
      </c>
      <c r="O68"/>
      <c r="P68" t="s">
        <v>72</v>
      </c>
      <c r="Q68">
        <f>Q45-C45-Tabella7[[#This Row],[2019]]</f>
        <v>231</v>
      </c>
      <c r="R68">
        <f>R45-D45-Tabella7[[#This Row],[2018]]</f>
        <v>268</v>
      </c>
      <c r="S68">
        <f>S45-E45-Tabella7[[#This Row],[2017]]</f>
        <v>311</v>
      </c>
      <c r="T68">
        <f>T45-F45-Tabella7[[#This Row],[2016]]</f>
        <v>292</v>
      </c>
      <c r="U68">
        <f>U45-G45-Tabella7[[#This Row],[2015]]</f>
        <v>293</v>
      </c>
      <c r="V68">
        <f>V45-H45-Tabella7[[#This Row],[2014]]</f>
        <v>260</v>
      </c>
      <c r="W68">
        <f>W45-I45-Tabella7[[#This Row],[2013]]</f>
        <v>244</v>
      </c>
      <c r="X68">
        <f>X45-J45-Tabella7[[#This Row],[2012]]</f>
        <v>213</v>
      </c>
      <c r="Y68">
        <f>Y45-K45-Tabella7[[#This Row],[2011]]</f>
        <v>172</v>
      </c>
      <c r="Z68">
        <f>Z45-L45-Tabella7[[#This Row],[2010]]</f>
        <v>135</v>
      </c>
      <c r="AA68">
        <f>AA45-M45-Tabella7[[#This Row],[2009]]</f>
        <v>147</v>
      </c>
    </row>
  </sheetData>
  <mergeCells count="6">
    <mergeCell ref="O1:AA1"/>
    <mergeCell ref="A1:M1"/>
    <mergeCell ref="A24:M24"/>
    <mergeCell ref="O24:AA24"/>
    <mergeCell ref="A47:M47"/>
    <mergeCell ref="O47:AA47"/>
  </mergeCells>
  <phoneticPr fontId="12" type="noConversion"/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BE3-841A-437C-8136-D2B45C195295}">
  <dimension ref="A1:F27"/>
  <sheetViews>
    <sheetView workbookViewId="0">
      <selection activeCell="J21" sqref="J21"/>
    </sheetView>
  </sheetViews>
  <sheetFormatPr defaultRowHeight="15"/>
  <cols>
    <col min="1" max="1" width="17.42578125" customWidth="1"/>
    <col min="2" max="2" width="12.140625" customWidth="1"/>
    <col min="3" max="3" width="19.85546875" customWidth="1"/>
    <col min="4" max="4" width="21.42578125" customWidth="1"/>
    <col min="5" max="5" width="21.85546875" customWidth="1"/>
    <col min="6" max="6" width="20.85546875" customWidth="1"/>
  </cols>
  <sheetData>
    <row r="1" spans="1:6">
      <c r="A1" s="67" t="s">
        <v>82</v>
      </c>
      <c r="B1" s="67" t="s">
        <v>81</v>
      </c>
      <c r="C1" s="67" t="s">
        <v>120</v>
      </c>
      <c r="D1" s="67" t="s">
        <v>122</v>
      </c>
      <c r="E1" s="67" t="s">
        <v>119</v>
      </c>
      <c r="F1" s="67" t="s">
        <v>121</v>
      </c>
    </row>
    <row r="2" spans="1:6">
      <c r="A2" s="50" t="s">
        <v>65</v>
      </c>
      <c r="B2" s="51" t="s">
        <v>70</v>
      </c>
      <c r="C2" s="52">
        <f>AVERAGE(Dati_OPTN!C8:H8)</f>
        <v>19</v>
      </c>
      <c r="D2" s="52">
        <f>Tabella3[[#This Row],[p/anno (2014-2019)]]/365</f>
        <v>5.2054794520547946E-2</v>
      </c>
      <c r="E2" s="52">
        <f>AVERAGE(Dati_OPTN!I8:M8)</f>
        <v>16</v>
      </c>
      <c r="F2" s="52">
        <f>Tabella3[[#This Row],[p/anno (2009-2013)]]/365</f>
        <v>4.3835616438356165E-2</v>
      </c>
    </row>
    <row r="3" spans="1:6">
      <c r="A3" s="50"/>
      <c r="B3" s="51" t="s">
        <v>71</v>
      </c>
      <c r="C3" s="52">
        <f>AVERAGE(Dati_OPTN!C9:H9)</f>
        <v>13753.333333333334</v>
      </c>
      <c r="D3" s="52">
        <f>Tabella3[[#This Row],[p/anno (2014-2019)]]/365</f>
        <v>37.680365296803657</v>
      </c>
      <c r="E3" s="52">
        <f>AVERAGE(Dati_OPTN!I9:M9)</f>
        <v>11798</v>
      </c>
      <c r="F3" s="52">
        <f>Tabella3[[#This Row],[p/anno (2009-2013)]]/365</f>
        <v>32.323287671232876</v>
      </c>
    </row>
    <row r="4" spans="1:6">
      <c r="A4" s="50"/>
      <c r="B4" s="51" t="s">
        <v>72</v>
      </c>
      <c r="C4" s="52">
        <f>AVERAGE(Dati_OPTN!C10:H10)</f>
        <v>4465</v>
      </c>
      <c r="D4" s="52">
        <f>Tabella3[[#This Row],[p/anno (2014-2019)]]/365</f>
        <v>12.232876712328768</v>
      </c>
      <c r="E4" s="52">
        <f>AVERAGE(Dati_OPTN!I10:M10)</f>
        <v>5149.8</v>
      </c>
      <c r="F4" s="52">
        <f>Tabella3[[#This Row],[p/anno (2009-2013)]]/365</f>
        <v>14.109041095890412</v>
      </c>
    </row>
    <row r="5" spans="1:6">
      <c r="A5" s="50" t="s">
        <v>66</v>
      </c>
      <c r="B5" s="51" t="s">
        <v>70</v>
      </c>
      <c r="C5" s="52">
        <f>AVERAGE(Dati_OPTN!C12:H12)</f>
        <v>10.666666666666666</v>
      </c>
      <c r="D5" s="52">
        <f>Tabella3[[#This Row],[p/anno (2014-2019)]]/365</f>
        <v>2.9223744292237442E-2</v>
      </c>
      <c r="E5" s="52">
        <f>AVERAGE(Dati_OPTN!I12:M12)</f>
        <v>8.6</v>
      </c>
      <c r="F5" s="52">
        <f>Tabella3[[#This Row],[p/anno (2009-2013)]]/365</f>
        <v>2.3561643835616437E-2</v>
      </c>
    </row>
    <row r="6" spans="1:6">
      <c r="A6" s="50"/>
      <c r="B6" s="51" t="s">
        <v>71</v>
      </c>
      <c r="C6" s="52">
        <f>AVERAGE(Dati_OPTN!C13:H13)</f>
        <v>9003.1666666666661</v>
      </c>
      <c r="D6" s="52">
        <f>Tabella3[[#This Row],[p/anno (2014-2019)]]/365</f>
        <v>24.666210045662098</v>
      </c>
      <c r="E6" s="52">
        <f>AVERAGE(Dati_OPTN!I13:M13)</f>
        <v>8030.6</v>
      </c>
      <c r="F6" s="52">
        <f>Tabella3[[#This Row],[p/anno (2009-2013)]]/365</f>
        <v>22.001643835616438</v>
      </c>
    </row>
    <row r="7" spans="1:6">
      <c r="A7" s="50"/>
      <c r="B7" s="51" t="s">
        <v>72</v>
      </c>
      <c r="C7" s="52">
        <f>AVERAGE(Dati_OPTN!C14:H14)</f>
        <v>3154.3333333333335</v>
      </c>
      <c r="D7" s="52">
        <f>Tabella3[[#This Row],[p/anno (2014-2019)]]/365</f>
        <v>8.6420091324200925</v>
      </c>
      <c r="E7" s="52">
        <f>AVERAGE(Dati_OPTN!I14:M14)</f>
        <v>3504</v>
      </c>
      <c r="F7" s="52">
        <f>Tabella3[[#This Row],[p/anno (2009-2013)]]/365</f>
        <v>9.6</v>
      </c>
    </row>
    <row r="8" spans="1:6">
      <c r="A8" s="50" t="s">
        <v>67</v>
      </c>
      <c r="B8" s="51" t="s">
        <v>70</v>
      </c>
      <c r="C8" s="52">
        <f>AVERAGE(Dati_OPTN!C16:H16)</f>
        <v>6</v>
      </c>
      <c r="D8" s="52">
        <f>Tabella3[[#This Row],[p/anno (2014-2019)]]/365</f>
        <v>1.643835616438356E-2</v>
      </c>
      <c r="E8" s="52">
        <f>AVERAGE(Dati_OPTN!I16:M16)</f>
        <v>5.4</v>
      </c>
      <c r="F8" s="52">
        <f>Tabella3[[#This Row],[p/anno (2009-2013)]]/365</f>
        <v>1.4794520547945207E-2</v>
      </c>
    </row>
    <row r="9" spans="1:6">
      <c r="A9" s="50"/>
      <c r="B9" s="51" t="s">
        <v>71</v>
      </c>
      <c r="C9" s="52">
        <f>AVERAGE(Dati_OPTN!C17:H17)</f>
        <v>4198</v>
      </c>
      <c r="D9" s="52">
        <f>Tabella3[[#This Row],[p/anno (2014-2019)]]/365</f>
        <v>11.501369863013698</v>
      </c>
      <c r="E9" s="52">
        <f>AVERAGE(Dati_OPTN!I17:M17)</f>
        <v>3542</v>
      </c>
      <c r="F9" s="52">
        <f>Tabella3[[#This Row],[p/anno (2009-2013)]]/365</f>
        <v>9.7041095890410958</v>
      </c>
    </row>
    <row r="10" spans="1:6">
      <c r="A10" s="50"/>
      <c r="B10" s="51" t="s">
        <v>72</v>
      </c>
      <c r="C10" s="52">
        <f>AVERAGE(Dati_OPTN!C18:H18)</f>
        <v>1359.5</v>
      </c>
      <c r="D10" s="52">
        <f>Tabella3[[#This Row],[p/anno (2014-2019)]]/365</f>
        <v>3.7246575342465755</v>
      </c>
      <c r="E10" s="52">
        <f>AVERAGE(Dati_OPTN!I18:M18)</f>
        <v>1582.4</v>
      </c>
      <c r="F10" s="52">
        <f>Tabella3[[#This Row],[p/anno (2009-2013)]]/365</f>
        <v>4.335342465753425</v>
      </c>
    </row>
    <row r="11" spans="1:6">
      <c r="A11" s="50" t="s">
        <v>68</v>
      </c>
      <c r="B11" s="51" t="s">
        <v>70</v>
      </c>
      <c r="C11" s="52">
        <f>AVERAGE(Dati_OPTN!C20:H20)</f>
        <v>1.6666666666666667</v>
      </c>
      <c r="D11" s="52">
        <f>Tabella3[[#This Row],[p/anno (2014-2019)]]/365</f>
        <v>4.5662100456621011E-3</v>
      </c>
      <c r="E11" s="52">
        <f>AVERAGE(Dati_OPTN!I20:M20)</f>
        <v>1</v>
      </c>
      <c r="F11" s="52">
        <f>Tabella3[[#This Row],[p/anno (2009-2013)]]/365</f>
        <v>2.7397260273972603E-3</v>
      </c>
    </row>
    <row r="12" spans="1:6">
      <c r="A12" s="50"/>
      <c r="B12" s="51" t="s">
        <v>71</v>
      </c>
      <c r="C12" s="52">
        <f>AVERAGE(Dati_OPTN!C21:H21)</f>
        <v>1051.1666666666667</v>
      </c>
      <c r="D12" s="52">
        <f>Tabella3[[#This Row],[p/anno (2014-2019)]]/365</f>
        <v>2.8799086757990868</v>
      </c>
      <c r="E12" s="52">
        <f>AVERAGE(Dati_OPTN!I21:M21)</f>
        <v>913</v>
      </c>
      <c r="F12" s="52">
        <f>Tabella3[[#This Row],[p/anno (2009-2013)]]/365</f>
        <v>2.5013698630136987</v>
      </c>
    </row>
    <row r="13" spans="1:6">
      <c r="A13" s="50"/>
      <c r="B13" s="51" t="s">
        <v>72</v>
      </c>
      <c r="C13" s="52">
        <f>AVERAGE(Dati_OPTN!C22:H22)</f>
        <v>372</v>
      </c>
      <c r="D13" s="52">
        <f>Tabella3[[#This Row],[p/anno (2014-2019)]]/365</f>
        <v>1.0191780821917809</v>
      </c>
      <c r="E13" s="52">
        <f>AVERAGE(Dati_OPTN!I22:M22)</f>
        <v>429.6</v>
      </c>
      <c r="F13" s="52">
        <f>Tabella3[[#This Row],[p/anno (2009-2013)]]/365</f>
        <v>1.1769863013698632</v>
      </c>
    </row>
    <row r="15" spans="1:6">
      <c r="A15" s="67" t="s">
        <v>83</v>
      </c>
      <c r="B15" s="67" t="s">
        <v>102</v>
      </c>
      <c r="C15" s="67" t="s">
        <v>123</v>
      </c>
      <c r="D15" s="67" t="s">
        <v>124</v>
      </c>
      <c r="E15" s="67" t="s">
        <v>125</v>
      </c>
      <c r="F15" s="67" t="s">
        <v>126</v>
      </c>
    </row>
    <row r="16" spans="1:6">
      <c r="A16" t="s">
        <v>65</v>
      </c>
      <c r="B16" t="s">
        <v>99</v>
      </c>
      <c r="C16" s="52">
        <f>AVERAGE(Dati_OPTN!Q6:V6)</f>
        <v>8180.333333333333</v>
      </c>
      <c r="D16" s="52">
        <f t="shared" ref="D16:D19" si="0">C16/365</f>
        <v>22.411872146118721</v>
      </c>
      <c r="E16" s="52">
        <f>AVERAGE(Dati_OPTN!W6:AA6)</f>
        <v>7320.6</v>
      </c>
      <c r="F16" s="52">
        <f t="shared" ref="F16:F23" si="1">E16/365</f>
        <v>20.056438356164385</v>
      </c>
    </row>
    <row r="17" spans="1:6">
      <c r="B17" t="s">
        <v>100</v>
      </c>
      <c r="C17" s="52">
        <f>AVERAGE(Dati_OPTN!Q7:V7)</f>
        <v>4419</v>
      </c>
      <c r="D17" s="52">
        <f t="shared" si="0"/>
        <v>12.106849315068493</v>
      </c>
      <c r="E17" s="52">
        <f>AVERAGE(Dati_OPTN!W7:AA7)</f>
        <v>3510</v>
      </c>
      <c r="F17" s="52">
        <f t="shared" si="1"/>
        <v>9.6164383561643838</v>
      </c>
    </row>
    <row r="18" spans="1:6">
      <c r="B18" t="s">
        <v>101</v>
      </c>
      <c r="C18" s="52">
        <f>AVERAGE(Dati_OPTN!Q8:V8)</f>
        <v>3761.3333333333335</v>
      </c>
      <c r="D18" s="52">
        <f t="shared" si="0"/>
        <v>10.305022831050229</v>
      </c>
      <c r="E18" s="52">
        <f>AVERAGE(Dati_OPTN!W8:AA8)</f>
        <v>3810.6</v>
      </c>
      <c r="F18" s="52">
        <f t="shared" si="1"/>
        <v>10.44</v>
      </c>
    </row>
    <row r="19" spans="1:6">
      <c r="A19" t="s">
        <v>66</v>
      </c>
      <c r="B19" t="s">
        <v>99</v>
      </c>
      <c r="C19" s="52">
        <f>AVERAGE(Dati_OPTN!Q9:V9)</f>
        <v>5087.5</v>
      </c>
      <c r="D19" s="52">
        <f t="shared" si="0"/>
        <v>13.938356164383562</v>
      </c>
      <c r="E19" s="52">
        <f>AVERAGE(Dati_OPTN!W9:AA9)</f>
        <v>4323.8</v>
      </c>
      <c r="F19" s="52">
        <f t="shared" si="1"/>
        <v>11.846027397260274</v>
      </c>
    </row>
    <row r="20" spans="1:6">
      <c r="B20" t="s">
        <v>100</v>
      </c>
      <c r="C20" s="52">
        <f>AVERAGE(Dati_OPTN!Q10:V10)</f>
        <v>3430.5</v>
      </c>
      <c r="D20" s="52">
        <f t="shared" ref="D20:D23" si="2">C20/365</f>
        <v>9.3986301369863021</v>
      </c>
      <c r="E20" s="52">
        <f>AVERAGE(Dati_OPTN!W10:AA10)</f>
        <v>2731.2</v>
      </c>
      <c r="F20" s="52">
        <f t="shared" si="1"/>
        <v>7.4827397260273969</v>
      </c>
    </row>
    <row r="21" spans="1:6">
      <c r="B21" t="s">
        <v>101</v>
      </c>
      <c r="C21" s="52">
        <f>AVERAGE(Dati_OPTN!Q11:V11)</f>
        <v>1657</v>
      </c>
      <c r="D21" s="52">
        <f t="shared" si="2"/>
        <v>4.5397260273972604</v>
      </c>
      <c r="E21" s="52">
        <f>AVERAGE(Dati_OPTN!W11:AA11)</f>
        <v>1592.6</v>
      </c>
      <c r="F21" s="52">
        <f t="shared" si="1"/>
        <v>4.3632876712328761</v>
      </c>
    </row>
    <row r="22" spans="1:6">
      <c r="A22" t="s">
        <v>67</v>
      </c>
      <c r="B22" t="s">
        <v>99</v>
      </c>
      <c r="C22" s="52">
        <f>AVERAGE(Dati_OPTN!Q12:V12)</f>
        <v>1578.3333333333333</v>
      </c>
      <c r="D22" s="52">
        <f t="shared" si="2"/>
        <v>4.3242009132420085</v>
      </c>
      <c r="E22" s="52">
        <f>AVERAGE(Dati_OPTN!W12:AA12)</f>
        <v>1377.6</v>
      </c>
      <c r="F22" s="52">
        <f t="shared" si="1"/>
        <v>3.7742465753424654</v>
      </c>
    </row>
    <row r="23" spans="1:6">
      <c r="B23" t="s">
        <v>100</v>
      </c>
      <c r="C23" s="52">
        <f>AVERAGE(Dati_OPTN!Q13:V13)</f>
        <v>1090.5</v>
      </c>
      <c r="D23" s="52">
        <f t="shared" si="2"/>
        <v>2.9876712328767123</v>
      </c>
      <c r="E23" s="52">
        <f>AVERAGE(Dati_OPTN!W13:AA13)</f>
        <v>888.8</v>
      </c>
      <c r="F23" s="52">
        <f t="shared" si="1"/>
        <v>2.435068493150685</v>
      </c>
    </row>
    <row r="24" spans="1:6">
      <c r="B24" t="s">
        <v>101</v>
      </c>
      <c r="C24" s="52">
        <f>AVERAGE(Dati_OPTN!Q14:V14)</f>
        <v>487.83333333333331</v>
      </c>
      <c r="D24" s="52">
        <f t="shared" ref="D24:D27" si="3">C24/365</f>
        <v>1.3365296803652968</v>
      </c>
      <c r="E24" s="52">
        <f>AVERAGE(Dati_OPTN!W14:AA14)</f>
        <v>488.8</v>
      </c>
      <c r="F24" s="52">
        <f t="shared" ref="F24:F27" si="4">E24/365</f>
        <v>1.3391780821917809</v>
      </c>
    </row>
    <row r="25" spans="1:6">
      <c r="A25" t="s">
        <v>68</v>
      </c>
      <c r="B25" t="s">
        <v>99</v>
      </c>
      <c r="C25" s="52">
        <f>AVERAGE(Dati_OPTN!Q15:V15)</f>
        <v>398</v>
      </c>
      <c r="D25" s="52">
        <f t="shared" si="3"/>
        <v>1.0904109589041096</v>
      </c>
      <c r="E25" s="52">
        <f>AVERAGE(Dati_OPTN!W15:AA15)</f>
        <v>314.8</v>
      </c>
      <c r="F25" s="52">
        <f t="shared" si="4"/>
        <v>0.86246575342465759</v>
      </c>
    </row>
    <row r="26" spans="1:6">
      <c r="B26" t="s">
        <v>100</v>
      </c>
      <c r="C26" s="52">
        <f>AVERAGE(Dati_OPTN!Q16:V16)</f>
        <v>318.16666666666669</v>
      </c>
      <c r="D26" s="52">
        <f t="shared" si="3"/>
        <v>0.87168949771689508</v>
      </c>
      <c r="E26" s="52">
        <f>AVERAGE(Dati_OPTN!W16:AA16)</f>
        <v>248.4</v>
      </c>
      <c r="F26" s="52">
        <f t="shared" si="4"/>
        <v>0.68054794520547945</v>
      </c>
    </row>
    <row r="27" spans="1:6">
      <c r="B27" t="s">
        <v>101</v>
      </c>
      <c r="C27" s="52">
        <f>AVERAGE(Dati_OPTN!Q17:V17)</f>
        <v>79.833333333333329</v>
      </c>
      <c r="D27" s="52">
        <f t="shared" si="3"/>
        <v>0.21872146118721461</v>
      </c>
      <c r="E27" s="52">
        <f>AVERAGE(Dati_OPTN!W17:AA17)</f>
        <v>66.400000000000006</v>
      </c>
      <c r="F27" s="52">
        <f t="shared" si="4"/>
        <v>0.18191780821917811</v>
      </c>
    </row>
  </sheetData>
  <phoneticPr fontId="1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D2A5-AA55-4C61-9BC5-CB46B0A80C06}">
  <dimension ref="A1:Q45"/>
  <sheetViews>
    <sheetView zoomScaleNormal="100" workbookViewId="0">
      <selection activeCell="N21" sqref="N21"/>
    </sheetView>
  </sheetViews>
  <sheetFormatPr defaultRowHeight="15"/>
  <cols>
    <col min="1" max="1" width="11.85546875" style="86" customWidth="1"/>
    <col min="2" max="2" width="11.42578125" style="86" customWidth="1"/>
    <col min="3" max="3" width="13.42578125" style="86" customWidth="1"/>
    <col min="4" max="4" width="14.140625" style="86" customWidth="1"/>
    <col min="5" max="5" width="13.7109375" style="86" customWidth="1"/>
    <col min="6" max="6" width="14" style="86" customWidth="1"/>
    <col min="7" max="7" width="11.5703125" style="86" customWidth="1"/>
    <col min="8" max="8" width="11.42578125" style="86" customWidth="1"/>
    <col min="9" max="9" width="10.5703125" style="86" bestFit="1" customWidth="1"/>
    <col min="10" max="10" width="9.140625" style="86"/>
    <col min="11" max="11" width="11.85546875" style="86" customWidth="1"/>
    <col min="12" max="13" width="9.140625" style="86"/>
    <col min="14" max="14" width="11.7109375" style="86" customWidth="1"/>
    <col min="15" max="16384" width="9.140625" style="86"/>
  </cols>
  <sheetData>
    <row r="1" spans="1:11">
      <c r="A1" s="119" t="s">
        <v>117</v>
      </c>
      <c r="B1" s="111"/>
      <c r="C1" s="111"/>
      <c r="D1" s="111"/>
      <c r="E1" s="111"/>
      <c r="G1" s="119" t="s">
        <v>129</v>
      </c>
      <c r="H1" s="111"/>
      <c r="I1" s="111"/>
      <c r="J1" s="111"/>
      <c r="K1" s="111"/>
    </row>
    <row r="2" spans="1:11">
      <c r="A2" s="87" t="s">
        <v>84</v>
      </c>
      <c r="B2" s="87" t="s">
        <v>81</v>
      </c>
      <c r="C2" s="87" t="s">
        <v>127</v>
      </c>
      <c r="D2" s="87" t="s">
        <v>128</v>
      </c>
      <c r="E2" s="87" t="s">
        <v>135</v>
      </c>
      <c r="G2" s="87" t="s">
        <v>84</v>
      </c>
      <c r="H2" s="87" t="s">
        <v>81</v>
      </c>
      <c r="I2" s="87" t="s">
        <v>131</v>
      </c>
      <c r="J2" s="87" t="s">
        <v>132</v>
      </c>
      <c r="K2" s="87" t="s">
        <v>135</v>
      </c>
    </row>
    <row r="3" spans="1:11">
      <c r="A3" s="67" t="s">
        <v>64</v>
      </c>
      <c r="B3" s="67" t="s">
        <v>69</v>
      </c>
      <c r="C3" s="113">
        <f>AVERAGE(Dati_OPTN!C26:H26)</f>
        <v>4418.5</v>
      </c>
      <c r="D3" s="113">
        <f>Tabella5[[#This Row],[d/anno]]/365</f>
        <v>12.105479452054794</v>
      </c>
      <c r="E3" s="113">
        <f>C3/$C$3</f>
        <v>1</v>
      </c>
      <c r="G3" s="67" t="s">
        <v>64</v>
      </c>
      <c r="H3" s="67" t="s">
        <v>69</v>
      </c>
      <c r="I3" s="113">
        <f>AVERAGE(Dati_OPTN!Q49:V49)</f>
        <v>11046.5</v>
      </c>
      <c r="J3" s="113">
        <f>Tabella511[[#This Row],[r/anno]]/365</f>
        <v>30.264383561643836</v>
      </c>
      <c r="K3" s="113">
        <f>Tabella511[[#This Row],[r/anno]]/$I$3</f>
        <v>1</v>
      </c>
    </row>
    <row r="4" spans="1:11">
      <c r="A4" s="67"/>
      <c r="B4" s="67" t="s">
        <v>70</v>
      </c>
      <c r="C4" s="113">
        <f>AVERAGE(Dati_OPTN!C27:H27)</f>
        <v>1.3333333333333333</v>
      </c>
      <c r="D4" s="113">
        <f>Tabella5[[#This Row],[d/anno]]/365</f>
        <v>3.6529680365296802E-3</v>
      </c>
      <c r="E4" s="113">
        <f t="shared" ref="E4:E22" si="0">C4/$C$3</f>
        <v>3.0176153294858739E-4</v>
      </c>
      <c r="G4" s="67"/>
      <c r="H4" s="67" t="s">
        <v>70</v>
      </c>
      <c r="I4" s="113">
        <f>AVERAGE(Dati_OPTN!Q50:V50)</f>
        <v>3.3333333333333335</v>
      </c>
      <c r="J4" s="113">
        <f>Tabella511[[#This Row],[r/anno]]/365</f>
        <v>9.1324200913242021E-3</v>
      </c>
      <c r="K4" s="113">
        <f>Tabella511[[#This Row],[r/anno]]/$I$3</f>
        <v>3.0175470360144241E-4</v>
      </c>
    </row>
    <row r="5" spans="1:11">
      <c r="A5" s="67"/>
      <c r="B5" s="67" t="s">
        <v>71</v>
      </c>
      <c r="C5" s="113">
        <f>AVERAGE(Dati_OPTN!C28:H28)</f>
        <v>1681</v>
      </c>
      <c r="D5" s="113">
        <f>Tabella5[[#This Row],[d/anno]]/365</f>
        <v>4.6054794520547944</v>
      </c>
      <c r="E5" s="113">
        <f t="shared" si="0"/>
        <v>0.38044585266493153</v>
      </c>
      <c r="G5" s="67"/>
      <c r="H5" s="67" t="s">
        <v>71</v>
      </c>
      <c r="I5" s="113">
        <f>AVERAGE(Dati_OPTN!Q51:V51)</f>
        <v>2905.8333333333335</v>
      </c>
      <c r="J5" s="113">
        <f>Tabella511[[#This Row],[r/anno]]/365</f>
        <v>7.961187214611873</v>
      </c>
      <c r="K5" s="113">
        <f>Tabella511[[#This Row],[r/anno]]/$I$3</f>
        <v>0.26305466286455742</v>
      </c>
    </row>
    <row r="6" spans="1:11">
      <c r="A6" s="67"/>
      <c r="B6" s="67" t="s">
        <v>72</v>
      </c>
      <c r="C6" s="113">
        <f>AVERAGE(Dati_OPTN!C29:H29)</f>
        <v>2813.5</v>
      </c>
      <c r="D6" s="113">
        <f>Tabella5[[#This Row],[d/anno]]/365</f>
        <v>7.7082191780821914</v>
      </c>
      <c r="E6" s="113">
        <f t="shared" si="0"/>
        <v>0.63675455471313791</v>
      </c>
      <c r="G6" s="67"/>
      <c r="H6" s="67" t="s">
        <v>72</v>
      </c>
      <c r="I6" s="113">
        <f>AVERAGE(Dati_OPTN!Q52:V52)</f>
        <v>9278.6666666666661</v>
      </c>
      <c r="J6" s="113">
        <f>Tabella511[[#This Row],[r/anno]]/365</f>
        <v>25.421004566210044</v>
      </c>
      <c r="K6" s="113">
        <f>Tabella511[[#This Row],[r/anno]]/$I$3</f>
        <v>0.83996439294497494</v>
      </c>
    </row>
    <row r="7" spans="1:11">
      <c r="A7" s="67" t="s">
        <v>65</v>
      </c>
      <c r="B7" s="67" t="s">
        <v>69</v>
      </c>
      <c r="C7" s="113">
        <f>AVERAGE(Dati_OPTN!C30:H30)</f>
        <v>2313.5</v>
      </c>
      <c r="D7" s="113">
        <f>Tabella5[[#This Row],[d/anno]]/365</f>
        <v>6.338356164383562</v>
      </c>
      <c r="E7" s="113">
        <f t="shared" si="0"/>
        <v>0.52359397985741762</v>
      </c>
      <c r="G7" s="67" t="s">
        <v>65</v>
      </c>
      <c r="H7" s="67" t="s">
        <v>69</v>
      </c>
      <c r="I7" s="113">
        <f>AVERAGE(Dati_OPTN!Q53:V53)</f>
        <v>5731.833333333333</v>
      </c>
      <c r="J7" s="113">
        <f>Tabella511[[#This Row],[r/anno]]/365</f>
        <v>15.703652968036529</v>
      </c>
      <c r="K7" s="113">
        <f>Tabella511[[#This Row],[r/anno]]/$I$3</f>
        <v>0.51888230057786022</v>
      </c>
    </row>
    <row r="8" spans="1:11">
      <c r="A8" s="67"/>
      <c r="B8" s="67" t="s">
        <v>70</v>
      </c>
      <c r="C8" s="113">
        <f>AVERAGE(Dati_OPTN!C31:H31)</f>
        <v>1</v>
      </c>
      <c r="D8" s="113">
        <f>Tabella5[[#This Row],[d/anno]]/365</f>
        <v>2.7397260273972603E-3</v>
      </c>
      <c r="E8" s="113">
        <f t="shared" si="0"/>
        <v>2.2632114971144054E-4</v>
      </c>
      <c r="G8" s="67"/>
      <c r="H8" s="67" t="s">
        <v>70</v>
      </c>
      <c r="I8" s="113">
        <f>AVERAGE(Dati_OPTN!Q54:V54)</f>
        <v>2.3333333333333335</v>
      </c>
      <c r="J8" s="113">
        <f>Tabella511[[#This Row],[r/anno]]/365</f>
        <v>6.392694063926941E-3</v>
      </c>
      <c r="K8" s="113">
        <f>Tabella511[[#This Row],[r/anno]]/$I$3</f>
        <v>2.1122829252100968E-4</v>
      </c>
    </row>
    <row r="9" spans="1:11">
      <c r="A9" s="67"/>
      <c r="B9" s="67" t="s">
        <v>71</v>
      </c>
      <c r="C9" s="113">
        <f>AVERAGE(Dati_OPTN!C32:H32)</f>
        <v>913.83333333333337</v>
      </c>
      <c r="D9" s="113">
        <f>Tabella5[[#This Row],[d/anno]]/365</f>
        <v>2.5036529680365298</v>
      </c>
      <c r="E9" s="113">
        <f t="shared" si="0"/>
        <v>0.20681981064463809</v>
      </c>
      <c r="G9" s="67"/>
      <c r="H9" s="67" t="s">
        <v>71</v>
      </c>
      <c r="I9" s="113">
        <f>AVERAGE(Dati_OPTN!Q55:V55)</f>
        <v>1521.5</v>
      </c>
      <c r="J9" s="113">
        <f>Tabella511[[#This Row],[r/anno]]/365</f>
        <v>4.1684931506849319</v>
      </c>
      <c r="K9" s="113">
        <f>Tabella511[[#This Row],[r/anno]]/$I$3</f>
        <v>0.13773593445887838</v>
      </c>
    </row>
    <row r="10" spans="1:11">
      <c r="A10" s="67"/>
      <c r="B10" s="67" t="s">
        <v>72</v>
      </c>
      <c r="C10" s="113">
        <f>AVERAGE(Dati_OPTN!C33:H33)</f>
        <v>1440.6666666666667</v>
      </c>
      <c r="D10" s="113">
        <f>Tabella5[[#This Row],[d/anno]]/365</f>
        <v>3.9470319634703199</v>
      </c>
      <c r="E10" s="113">
        <f t="shared" si="0"/>
        <v>0.32605333635094869</v>
      </c>
      <c r="G10" s="67"/>
      <c r="H10" s="67" t="s">
        <v>72</v>
      </c>
      <c r="I10" s="113">
        <f>AVERAGE(Dati_OPTN!Q56:V56)</f>
        <v>4760.833333333333</v>
      </c>
      <c r="J10" s="113">
        <f>Tabella511[[#This Row],[r/anno]]/365</f>
        <v>13.043378995433789</v>
      </c>
      <c r="K10" s="113">
        <f>Tabella511[[#This Row],[r/anno]]/$I$3</f>
        <v>0.43098115541876009</v>
      </c>
    </row>
    <row r="11" spans="1:11">
      <c r="A11" s="67" t="s">
        <v>66</v>
      </c>
      <c r="B11" s="67" t="s">
        <v>69</v>
      </c>
      <c r="C11" s="113">
        <f>AVERAGE(Dati_OPTN!C34:H34)</f>
        <v>1276.8333333333333</v>
      </c>
      <c r="D11" s="113">
        <f>Tabella5[[#This Row],[d/anno]]/365</f>
        <v>3.4981735159817351</v>
      </c>
      <c r="E11" s="113">
        <f t="shared" si="0"/>
        <v>0.28897438798989095</v>
      </c>
      <c r="G11" s="67" t="s">
        <v>66</v>
      </c>
      <c r="H11" s="67" t="s">
        <v>69</v>
      </c>
      <c r="I11" s="113">
        <f>AVERAGE(Dati_OPTN!Q57:V57)</f>
        <v>3254.1666666666665</v>
      </c>
      <c r="J11" s="113">
        <f>Tabella511[[#This Row],[r/anno]]/365</f>
        <v>8.9155251141552512</v>
      </c>
      <c r="K11" s="113">
        <f>Tabella511[[#This Row],[r/anno]]/$I$3</f>
        <v>0.29458802939090811</v>
      </c>
    </row>
    <row r="12" spans="1:11">
      <c r="A12" s="67"/>
      <c r="B12" s="67" t="s">
        <v>70</v>
      </c>
      <c r="C12" s="113">
        <f>AVERAGE(Dati_OPTN!C35:H35)</f>
        <v>0.33333333333333331</v>
      </c>
      <c r="D12" s="113">
        <f>Tabella5[[#This Row],[d/anno]]/365</f>
        <v>9.1324200913242006E-4</v>
      </c>
      <c r="E12" s="113">
        <f t="shared" si="0"/>
        <v>7.5440383237146847E-5</v>
      </c>
      <c r="G12" s="67"/>
      <c r="H12" s="67" t="s">
        <v>70</v>
      </c>
      <c r="I12" s="113">
        <f>AVERAGE(Dati_OPTN!Q58:V58)</f>
        <v>0.5</v>
      </c>
      <c r="J12" s="113">
        <f>Tabella511[[#This Row],[r/anno]]/365</f>
        <v>1.3698630136986301E-3</v>
      </c>
      <c r="K12" s="113">
        <f>Tabella511[[#This Row],[r/anno]]/$I$3</f>
        <v>4.5263205540216361E-5</v>
      </c>
    </row>
    <row r="13" spans="1:11">
      <c r="A13" s="67"/>
      <c r="B13" s="67" t="s">
        <v>71</v>
      </c>
      <c r="C13" s="113">
        <f>AVERAGE(Dati_OPTN!C36:H36)</f>
        <v>445.5</v>
      </c>
      <c r="D13" s="113">
        <f>Tabella5[[#This Row],[d/anno]]/365</f>
        <v>1.2205479452054795</v>
      </c>
      <c r="E13" s="113">
        <f t="shared" si="0"/>
        <v>0.10082607219644676</v>
      </c>
      <c r="G13" s="67"/>
      <c r="H13" s="67" t="s">
        <v>71</v>
      </c>
      <c r="I13" s="113">
        <f>AVERAGE(Dati_OPTN!Q59:V59)</f>
        <v>853.33333333333337</v>
      </c>
      <c r="J13" s="113">
        <f>Tabella511[[#This Row],[r/anno]]/365</f>
        <v>2.3378995433789957</v>
      </c>
      <c r="K13" s="113">
        <f>Tabella511[[#This Row],[r/anno]]/$I$3</f>
        <v>7.7249204121969256E-2</v>
      </c>
    </row>
    <row r="14" spans="1:11">
      <c r="A14" s="67"/>
      <c r="B14" s="67" t="s">
        <v>72</v>
      </c>
      <c r="C14" s="113">
        <f>AVERAGE(Dati_OPTN!C37:H37)</f>
        <v>848.16666666666663</v>
      </c>
      <c r="D14" s="113">
        <f>Tabella5[[#This Row],[d/anno]]/365</f>
        <v>2.3237442922374427</v>
      </c>
      <c r="E14" s="113">
        <f t="shared" si="0"/>
        <v>0.19195805514692013</v>
      </c>
      <c r="G14" s="67"/>
      <c r="H14" s="67" t="s">
        <v>72</v>
      </c>
      <c r="I14" s="113">
        <f>AVERAGE(Dati_OPTN!Q60:V60)</f>
        <v>2782.5</v>
      </c>
      <c r="J14" s="113">
        <f>Tabella511[[#This Row],[r/anno]]/365</f>
        <v>7.6232876712328768</v>
      </c>
      <c r="K14" s="113">
        <f>Tabella511[[#This Row],[r/anno]]/$I$3</f>
        <v>0.25188973883130406</v>
      </c>
    </row>
    <row r="15" spans="1:11">
      <c r="A15" s="88" t="s">
        <v>67</v>
      </c>
      <c r="B15" s="88" t="s">
        <v>69</v>
      </c>
      <c r="C15" s="113">
        <f>AVERAGE(Dati_OPTN!C38:H38)</f>
        <v>708.83333333333337</v>
      </c>
      <c r="D15" s="113">
        <f>Tabella5[[#This Row],[d/anno]]/365</f>
        <v>1.9420091324200914</v>
      </c>
      <c r="E15" s="113">
        <f t="shared" si="0"/>
        <v>0.16042397495379276</v>
      </c>
      <c r="G15" s="88" t="s">
        <v>67</v>
      </c>
      <c r="H15" s="88" t="s">
        <v>69</v>
      </c>
      <c r="I15" s="113">
        <f>AVERAGE(Dati_OPTN!Q61:V61)</f>
        <v>1750.8333333333333</v>
      </c>
      <c r="J15" s="113">
        <f>Tabella511[[#This Row],[r/anno]]/365</f>
        <v>4.7968036529680367</v>
      </c>
      <c r="K15" s="113">
        <f>Tabella511[[#This Row],[r/anno]]/$I$3</f>
        <v>0.15849665806665761</v>
      </c>
    </row>
    <row r="16" spans="1:11">
      <c r="A16" s="88"/>
      <c r="B16" s="88" t="s">
        <v>70</v>
      </c>
      <c r="C16" s="113">
        <f>AVERAGE(Dati_OPTN!C39:H39)</f>
        <v>0</v>
      </c>
      <c r="D16" s="113">
        <f>Tabella5[[#This Row],[d/anno]]/365</f>
        <v>0</v>
      </c>
      <c r="E16" s="113">
        <f t="shared" si="0"/>
        <v>0</v>
      </c>
      <c r="G16" s="88"/>
      <c r="H16" s="88" t="s">
        <v>70</v>
      </c>
      <c r="I16" s="113">
        <f>AVERAGE(Dati_OPTN!Q62:V62)</f>
        <v>0</v>
      </c>
      <c r="J16" s="113">
        <f>Tabella511[[#This Row],[r/anno]]/365</f>
        <v>0</v>
      </c>
      <c r="K16" s="113">
        <f>Tabella511[[#This Row],[r/anno]]/$I$3</f>
        <v>0</v>
      </c>
    </row>
    <row r="17" spans="1:17">
      <c r="A17" s="88"/>
      <c r="B17" s="88" t="s">
        <v>71</v>
      </c>
      <c r="C17" s="113">
        <f>AVERAGE(Dati_OPTN!C40:H40)</f>
        <v>283.16666666666669</v>
      </c>
      <c r="D17" s="113">
        <f>Tabella5[[#This Row],[d/anno]]/365</f>
        <v>0.77579908675799092</v>
      </c>
      <c r="E17" s="113">
        <f t="shared" si="0"/>
        <v>6.4086605559956253E-2</v>
      </c>
      <c r="G17" s="88"/>
      <c r="H17" s="88" t="s">
        <v>71</v>
      </c>
      <c r="I17" s="113">
        <f>AVERAGE(Dati_OPTN!Q63:V63)</f>
        <v>454</v>
      </c>
      <c r="J17" s="113">
        <f>Tabella511[[#This Row],[r/anno]]/365</f>
        <v>1.2438356164383562</v>
      </c>
      <c r="K17" s="113">
        <f>Tabella511[[#This Row],[r/anno]]/$I$3</f>
        <v>4.1098990630516453E-2</v>
      </c>
    </row>
    <row r="18" spans="1:17">
      <c r="A18" s="88"/>
      <c r="B18" s="88" t="s">
        <v>72</v>
      </c>
      <c r="C18" s="113">
        <f>AVERAGE(Dati_OPTN!C41:H41)</f>
        <v>442.5</v>
      </c>
      <c r="D18" s="113">
        <f>Tabella5[[#This Row],[d/anno]]/365</f>
        <v>1.2123287671232876</v>
      </c>
      <c r="E18" s="113">
        <f t="shared" si="0"/>
        <v>0.10014710874731243</v>
      </c>
      <c r="G18" s="88"/>
      <c r="H18" s="88" t="s">
        <v>72</v>
      </c>
      <c r="I18" s="113">
        <f>AVERAGE(Dati_OPTN!Q64:V64)</f>
        <v>1459.6666666666667</v>
      </c>
      <c r="J18" s="120">
        <f>Tabella511[[#This Row],[r/anno]]/365</f>
        <v>3.999086757990868</v>
      </c>
      <c r="K18" s="118">
        <f>Tabella511[[#This Row],[r/anno]]/$I$3</f>
        <v>0.13213838470707162</v>
      </c>
      <c r="L18" s="118"/>
      <c r="M18" s="118"/>
      <c r="N18" s="118"/>
      <c r="O18" s="118"/>
    </row>
    <row r="19" spans="1:17">
      <c r="A19" s="88" t="s">
        <v>68</v>
      </c>
      <c r="B19" s="88" t="s">
        <v>69</v>
      </c>
      <c r="C19" s="113">
        <f>AVERAGE(Dati_OPTN!C42:H42)</f>
        <v>119.33333333333333</v>
      </c>
      <c r="D19" s="113">
        <f>Tabella5[[#This Row],[d/anno]]/365</f>
        <v>0.32694063926940636</v>
      </c>
      <c r="E19" s="113">
        <f t="shared" si="0"/>
        <v>2.7007657198898569E-2</v>
      </c>
      <c r="G19" s="88" t="s">
        <v>68</v>
      </c>
      <c r="H19" s="88" t="s">
        <v>69</v>
      </c>
      <c r="I19" s="113">
        <f>AVERAGE(Dati_OPTN!Q65:V65)</f>
        <v>309.83333333333331</v>
      </c>
      <c r="J19" s="120">
        <f>Tabella511[[#This Row],[r/anno]]/365</f>
        <v>0.84885844748858441</v>
      </c>
      <c r="K19" s="118">
        <f>Tabella511[[#This Row],[r/anno]]/$I$3</f>
        <v>2.8048099699754067E-2</v>
      </c>
      <c r="L19" s="118"/>
      <c r="M19" s="118"/>
      <c r="N19" s="118"/>
      <c r="O19" s="118"/>
    </row>
    <row r="20" spans="1:17">
      <c r="A20" s="88"/>
      <c r="B20" s="88" t="s">
        <v>70</v>
      </c>
      <c r="C20" s="113">
        <f>AVERAGE(Dati_OPTN!C43:H43)</f>
        <v>0</v>
      </c>
      <c r="D20" s="113">
        <f>Tabella5[[#This Row],[d/anno]]/365</f>
        <v>0</v>
      </c>
      <c r="E20" s="113">
        <f t="shared" si="0"/>
        <v>0</v>
      </c>
      <c r="G20" s="88"/>
      <c r="H20" s="88" t="s">
        <v>70</v>
      </c>
      <c r="I20" s="113">
        <f>AVERAGE(Dati_OPTN!Q66:V66)</f>
        <v>0.5</v>
      </c>
      <c r="J20" s="120">
        <f>Tabella511[[#This Row],[r/anno]]/365</f>
        <v>1.3698630136986301E-3</v>
      </c>
      <c r="K20" s="118">
        <f>Tabella511[[#This Row],[r/anno]]/$I$3</f>
        <v>4.5263205540216361E-5</v>
      </c>
      <c r="L20" s="118"/>
      <c r="M20" s="118"/>
      <c r="N20" s="118"/>
      <c r="O20" s="118"/>
    </row>
    <row r="21" spans="1:17">
      <c r="A21" s="88"/>
      <c r="B21" s="88" t="s">
        <v>71</v>
      </c>
      <c r="C21" s="113">
        <f>AVERAGE(Dati_OPTN!C44:H44)</f>
        <v>38.5</v>
      </c>
      <c r="D21" s="113">
        <f>Tabella5[[#This Row],[d/anno]]/365</f>
        <v>0.10547945205479452</v>
      </c>
      <c r="E21" s="113">
        <f t="shared" si="0"/>
        <v>8.7133642638904611E-3</v>
      </c>
      <c r="G21" s="88"/>
      <c r="H21" s="88" t="s">
        <v>71</v>
      </c>
      <c r="I21" s="113">
        <f>AVERAGE(Dati_OPTN!Q67:V67)</f>
        <v>77</v>
      </c>
      <c r="J21" s="120">
        <f>Tabella511[[#This Row],[r/anno]]/365</f>
        <v>0.21095890410958903</v>
      </c>
      <c r="K21" s="118">
        <f>Tabella511[[#This Row],[r/anno]]/$I$3</f>
        <v>6.970533653193319E-3</v>
      </c>
      <c r="L21" s="118"/>
      <c r="M21" s="118"/>
      <c r="N21" s="118"/>
      <c r="O21" s="118"/>
    </row>
    <row r="22" spans="1:17">
      <c r="A22" s="88"/>
      <c r="B22" s="88" t="s">
        <v>72</v>
      </c>
      <c r="C22" s="113">
        <f>AVERAGE(Dati_OPTN!C45:H45)</f>
        <v>82.166666666666671</v>
      </c>
      <c r="D22" s="113">
        <f>Tabella5[[#This Row],[d/anno]]/365</f>
        <v>0.22511415525114156</v>
      </c>
      <c r="E22" s="113">
        <f t="shared" si="0"/>
        <v>1.8596054467956698E-2</v>
      </c>
      <c r="G22" s="88"/>
      <c r="H22" s="88" t="s">
        <v>72</v>
      </c>
      <c r="I22" s="113">
        <f>AVERAGE(Dati_OPTN!Q68:V68)</f>
        <v>275.83333333333331</v>
      </c>
      <c r="J22" s="120">
        <f>Tabella511[[#This Row],[r/anno]]/365</f>
        <v>0.75570776255707761</v>
      </c>
      <c r="K22" s="118">
        <f>Tabella511[[#This Row],[r/anno]]/$I$3</f>
        <v>2.4970201723019357E-2</v>
      </c>
      <c r="L22" s="118"/>
      <c r="M22" s="118"/>
      <c r="N22" s="118"/>
      <c r="O22" s="118"/>
    </row>
    <row r="23" spans="1:17">
      <c r="A23" s="88"/>
      <c r="B23" s="88"/>
      <c r="C23" s="113"/>
      <c r="D23" s="113"/>
      <c r="E23" s="113"/>
      <c r="F23" s="113"/>
      <c r="G23" s="113"/>
      <c r="I23" s="118"/>
      <c r="J23" s="118"/>
      <c r="K23" s="118"/>
      <c r="L23" s="118"/>
      <c r="M23" s="118"/>
      <c r="N23" s="118"/>
      <c r="O23" s="118"/>
      <c r="P23" s="118"/>
      <c r="Q23" s="118"/>
    </row>
    <row r="24" spans="1:17">
      <c r="A24" s="114" t="s">
        <v>130</v>
      </c>
      <c r="B24" s="115"/>
      <c r="C24" s="115"/>
      <c r="D24" s="116"/>
    </row>
    <row r="25" spans="1:17">
      <c r="A25" s="87" t="s">
        <v>84</v>
      </c>
      <c r="B25" s="87" t="s">
        <v>81</v>
      </c>
      <c r="C25" s="87" t="s">
        <v>133</v>
      </c>
      <c r="D25" s="87" t="s">
        <v>134</v>
      </c>
      <c r="E25" s="87" t="s">
        <v>135</v>
      </c>
    </row>
    <row r="26" spans="1:17">
      <c r="A26" s="67" t="s">
        <v>64</v>
      </c>
      <c r="B26" s="67" t="s">
        <v>69</v>
      </c>
      <c r="C26" s="113">
        <f>AVERAGE(Dati_OPTN!C49:H49)</f>
        <v>19743.833333333332</v>
      </c>
      <c r="D26" s="113">
        <f>Tabella512[[#This Row],[t/anno]]/365</f>
        <v>54.092694063926935</v>
      </c>
      <c r="E26" s="113">
        <f>Tabella512[[#This Row],[t/anno]]/$C$26</f>
        <v>1</v>
      </c>
    </row>
    <row r="27" spans="1:17">
      <c r="A27" s="67"/>
      <c r="B27" s="67" t="s">
        <v>70</v>
      </c>
      <c r="C27" s="113">
        <f>AVERAGE(Dati_OPTN!C50:H50)</f>
        <v>16.5</v>
      </c>
      <c r="D27" s="113">
        <f>Tabella512[[#This Row],[t/anno]]/365</f>
        <v>4.5205479452054796E-2</v>
      </c>
      <c r="E27" s="113">
        <f>Tabella512[[#This Row],[t/anno]]/$C$26</f>
        <v>8.3570397508082699E-4</v>
      </c>
    </row>
    <row r="28" spans="1:17">
      <c r="A28" s="67"/>
      <c r="B28" s="67" t="s">
        <v>71</v>
      </c>
      <c r="C28" s="113">
        <f>AVERAGE(Dati_OPTN!C51:H51)</f>
        <v>18036.166666666668</v>
      </c>
      <c r="D28" s="113">
        <f>Tabella512[[#This Row],[t/anno]]/365</f>
        <v>49.414155251141558</v>
      </c>
      <c r="E28" s="113">
        <f>Tabella512[[#This Row],[t/anno]]/$C$26</f>
        <v>0.91350885930628145</v>
      </c>
    </row>
    <row r="29" spans="1:17">
      <c r="A29" s="67"/>
      <c r="B29" s="67" t="s">
        <v>72</v>
      </c>
      <c r="C29" s="113">
        <f>AVERAGE(Dati_OPTN!C52:H52)</f>
        <v>1546</v>
      </c>
      <c r="D29" s="113">
        <f>Tabella512[[#This Row],[t/anno]]/365</f>
        <v>4.2356164383561641</v>
      </c>
      <c r="E29" s="113">
        <f>Tabella512[[#This Row],[t/anno]]/$C$26</f>
        <v>7.830293002878537E-2</v>
      </c>
    </row>
    <row r="30" spans="1:17">
      <c r="A30" s="67" t="s">
        <v>65</v>
      </c>
      <c r="B30" s="67" t="s">
        <v>69</v>
      </c>
      <c r="C30" s="113">
        <f>AVERAGE(Dati_OPTN!C53:H53)</f>
        <v>8915.5</v>
      </c>
      <c r="D30" s="113">
        <f>Tabella512[[#This Row],[t/anno]]/365</f>
        <v>24.426027397260274</v>
      </c>
      <c r="E30" s="113">
        <f>Tabella512[[#This Row],[t/anno]]/$C$26</f>
        <v>0.45155871453534019</v>
      </c>
    </row>
    <row r="31" spans="1:17">
      <c r="A31" s="67"/>
      <c r="B31" s="67" t="s">
        <v>70</v>
      </c>
      <c r="C31" s="113">
        <f>AVERAGE(Dati_OPTN!C54:H54)</f>
        <v>7.5</v>
      </c>
      <c r="D31" s="113">
        <f>Tabella512[[#This Row],[t/anno]]/365</f>
        <v>2.0547945205479451E-2</v>
      </c>
      <c r="E31" s="113">
        <f>Tabella512[[#This Row],[t/anno]]/$C$26</f>
        <v>3.7986544321855773E-4</v>
      </c>
    </row>
    <row r="32" spans="1:17">
      <c r="A32" s="67"/>
      <c r="B32" s="67" t="s">
        <v>71</v>
      </c>
      <c r="C32" s="113">
        <f>AVERAGE(Dati_OPTN!C55:H55)</f>
        <v>8187</v>
      </c>
      <c r="D32" s="113">
        <f>Tabella512[[#This Row],[t/anno]]/365</f>
        <v>22.43013698630137</v>
      </c>
      <c r="E32" s="113">
        <f>Tabella512[[#This Row],[t/anno]]/$C$26</f>
        <v>0.41466111781737758</v>
      </c>
    </row>
    <row r="33" spans="1:5">
      <c r="A33" s="67"/>
      <c r="B33" s="67" t="s">
        <v>72</v>
      </c>
      <c r="C33" s="113">
        <f>AVERAGE(Dati_OPTN!C56:H56)</f>
        <v>657.16666666666663</v>
      </c>
      <c r="D33" s="113">
        <f>Tabella512[[#This Row],[t/anno]]/365</f>
        <v>1.800456621004566</v>
      </c>
      <c r="E33" s="113">
        <f>Tabella512[[#This Row],[t/anno]]/$C$26</f>
        <v>3.3284654280239398E-2</v>
      </c>
    </row>
    <row r="34" spans="1:5">
      <c r="A34" s="67" t="s">
        <v>66</v>
      </c>
      <c r="B34" s="67" t="s">
        <v>69</v>
      </c>
      <c r="C34" s="113">
        <f>AVERAGE(Dati_OPTN!C57:H57)</f>
        <v>7162.333333333333</v>
      </c>
      <c r="D34" s="113">
        <f>Tabella512[[#This Row],[t/anno]]/365</f>
        <v>19.62283105022831</v>
      </c>
      <c r="E34" s="113">
        <f>Tabella512[[#This Row],[t/anno]]/$C$26</f>
        <v>0.36276305681942883</v>
      </c>
    </row>
    <row r="35" spans="1:5">
      <c r="A35" s="67"/>
      <c r="B35" s="67" t="s">
        <v>70</v>
      </c>
      <c r="C35" s="113">
        <f>AVERAGE(Dati_OPTN!C58:H58)</f>
        <v>4.333333333333333</v>
      </c>
      <c r="D35" s="113">
        <f>Tabella512[[#This Row],[t/anno]]/365</f>
        <v>1.187214611872146E-2</v>
      </c>
      <c r="E35" s="113">
        <f>Tabella512[[#This Row],[t/anno]]/$C$26</f>
        <v>2.1947781163738888E-4</v>
      </c>
    </row>
    <row r="36" spans="1:5">
      <c r="A36" s="67"/>
      <c r="B36" s="67" t="s">
        <v>71</v>
      </c>
      <c r="C36" s="113">
        <f>AVERAGE(Dati_OPTN!C59:H59)</f>
        <v>6475</v>
      </c>
      <c r="D36" s="113">
        <f>Tabella512[[#This Row],[t/anno]]/365</f>
        <v>17.739726027397261</v>
      </c>
      <c r="E36" s="113">
        <f>Tabella512[[#This Row],[t/anno]]/$C$26</f>
        <v>0.32795049931202147</v>
      </c>
    </row>
    <row r="37" spans="1:5">
      <c r="A37" s="67"/>
      <c r="B37" s="67" t="s">
        <v>72</v>
      </c>
      <c r="C37" s="113">
        <f>AVERAGE(Dati_OPTN!C60:H60)</f>
        <v>625.33333333333337</v>
      </c>
      <c r="D37" s="113">
        <f>Tabella512[[#This Row],[t/anno]]/365</f>
        <v>1.7132420091324201</v>
      </c>
      <c r="E37" s="113">
        <f>Tabella512[[#This Row],[t/anno]]/$C$26</f>
        <v>3.1672336510133972E-2</v>
      </c>
    </row>
    <row r="38" spans="1:5">
      <c r="A38" s="88" t="s">
        <v>67</v>
      </c>
      <c r="B38" s="88" t="s">
        <v>69</v>
      </c>
      <c r="C38" s="113">
        <f>AVERAGE(Dati_OPTN!C61:H61)</f>
        <v>2700.5</v>
      </c>
      <c r="D38" s="113">
        <f>Tabella512[[#This Row],[t/anno]]/365</f>
        <v>7.3986301369863012</v>
      </c>
      <c r="E38" s="113">
        <f>Tabella512[[#This Row],[t/anno]]/$C$26</f>
        <v>0.13677688392156201</v>
      </c>
    </row>
    <row r="39" spans="1:5">
      <c r="A39" s="88"/>
      <c r="B39" s="88" t="s">
        <v>70</v>
      </c>
      <c r="C39" s="113">
        <f>AVERAGE(Dati_OPTN!C62:H62)</f>
        <v>3.8333333333333335</v>
      </c>
      <c r="D39" s="113">
        <f>Tabella512[[#This Row],[t/anno]]/365</f>
        <v>1.0502283105022832E-2</v>
      </c>
      <c r="E39" s="113">
        <f>Tabella512[[#This Row],[t/anno]]/$C$26</f>
        <v>1.9415344875615173E-4</v>
      </c>
    </row>
    <row r="40" spans="1:5">
      <c r="A40" s="88"/>
      <c r="B40" s="88" t="s">
        <v>71</v>
      </c>
      <c r="C40" s="113">
        <f>AVERAGE(Dati_OPTN!C63:H63)</f>
        <v>2481.5</v>
      </c>
      <c r="D40" s="113">
        <f>Tabella512[[#This Row],[t/anno]]/365</f>
        <v>6.7986301369863016</v>
      </c>
      <c r="E40" s="113">
        <f>Tabella512[[#This Row],[t/anno]]/$C$26</f>
        <v>0.12568481297958012</v>
      </c>
    </row>
    <row r="41" spans="1:5">
      <c r="A41" s="88"/>
      <c r="B41" s="88" t="s">
        <v>72</v>
      </c>
      <c r="C41" s="113">
        <f>AVERAGE(Dati_OPTN!C64:H64)</f>
        <v>198.16666666666666</v>
      </c>
      <c r="D41" s="113">
        <f>Tabella512[[#This Row],[t/anno]]/365</f>
        <v>0.54292237442922375</v>
      </c>
      <c r="E41" s="113">
        <f>Tabella512[[#This Row],[t/anno]]/$C$26</f>
        <v>1.0036889155263668E-2</v>
      </c>
    </row>
    <row r="42" spans="1:5">
      <c r="A42" s="88" t="s">
        <v>68</v>
      </c>
      <c r="B42" s="88" t="s">
        <v>69</v>
      </c>
      <c r="C42" s="113">
        <f>AVERAGE(Dati_OPTN!C65:H65)</f>
        <v>965.5</v>
      </c>
      <c r="D42" s="113">
        <f>Tabella512[[#This Row],[t/anno]]/365</f>
        <v>2.6452054794520548</v>
      </c>
      <c r="E42" s="113">
        <f>Tabella512[[#This Row],[t/anno]]/$C$26</f>
        <v>4.8901344723668999E-2</v>
      </c>
    </row>
    <row r="43" spans="1:5">
      <c r="A43" s="88"/>
      <c r="B43" s="88" t="s">
        <v>70</v>
      </c>
      <c r="C43" s="113">
        <f>AVERAGE(Dati_OPTN!C66:H66)</f>
        <v>0.83333333333333337</v>
      </c>
      <c r="D43" s="113">
        <f>Tabella512[[#This Row],[t/anno]]/365</f>
        <v>2.2831050228310505E-3</v>
      </c>
      <c r="E43" s="113">
        <f>Tabella512[[#This Row],[t/anno]]/$C$26</f>
        <v>4.2207271468728638E-5</v>
      </c>
    </row>
    <row r="44" spans="1:5">
      <c r="A44" s="88"/>
      <c r="B44" s="88" t="s">
        <v>71</v>
      </c>
      <c r="C44" s="113">
        <f>AVERAGE(Dati_OPTN!C67:H67)</f>
        <v>892.66666666666663</v>
      </c>
      <c r="D44" s="113">
        <f>Tabella512[[#This Row],[t/anno]]/365</f>
        <v>2.4456621004566208</v>
      </c>
      <c r="E44" s="113">
        <f>Tabella512[[#This Row],[t/anno]]/$C$26</f>
        <v>4.5212429197302111E-2</v>
      </c>
    </row>
    <row r="45" spans="1:5">
      <c r="A45" s="88"/>
      <c r="B45" s="88" t="s">
        <v>72</v>
      </c>
      <c r="C45" s="113">
        <f>AVERAGE(Dati_OPTN!C68:H68)</f>
        <v>65.333333333333329</v>
      </c>
      <c r="D45" s="113">
        <f>Tabella512[[#This Row],[t/anno]]/365</f>
        <v>0.17899543378995433</v>
      </c>
      <c r="E45" s="113">
        <f>Tabella512[[#This Row],[t/anno]]/$C$26</f>
        <v>3.3090500831483246E-3</v>
      </c>
    </row>
  </sheetData>
  <mergeCells count="3">
    <mergeCell ref="A24:D24"/>
    <mergeCell ref="G1:K1"/>
    <mergeCell ref="A1:E1"/>
  </mergeCells>
  <phoneticPr fontId="12" type="noConversion"/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1F10-E92F-4724-A144-37CC052D4688}">
  <dimension ref="A1:Q31"/>
  <sheetViews>
    <sheetView tabSelected="1" workbookViewId="0">
      <selection activeCell="N17" sqref="N17"/>
    </sheetView>
  </sheetViews>
  <sheetFormatPr defaultRowHeight="15"/>
  <cols>
    <col min="1" max="1" width="7.42578125" customWidth="1"/>
    <col min="2" max="2" width="10.7109375" customWidth="1"/>
    <col min="3" max="3" width="18" customWidth="1"/>
    <col min="4" max="4" width="17.5703125" customWidth="1"/>
    <col min="5" max="5" width="17.140625" customWidth="1"/>
    <col min="6" max="6" width="20.28515625" customWidth="1"/>
    <col min="7" max="7" width="9.5703125" customWidth="1"/>
    <col min="8" max="8" width="13.140625" customWidth="1"/>
    <col min="9" max="9" width="15.85546875" customWidth="1"/>
    <col min="10" max="10" width="9.28515625" customWidth="1"/>
    <col min="16" max="16" width="10.140625" bestFit="1" customWidth="1"/>
  </cols>
  <sheetData>
    <row r="1" spans="1:17" ht="15.75" thickBot="1">
      <c r="A1" s="100" t="s">
        <v>85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102"/>
    </row>
    <row r="2" spans="1:17" ht="15.75" thickBot="1">
      <c r="A2" s="97" t="s">
        <v>80</v>
      </c>
      <c r="B2" s="98"/>
      <c r="C2" s="98"/>
      <c r="D2" s="98"/>
      <c r="E2" s="98"/>
      <c r="F2" s="96"/>
      <c r="G2" s="99" t="s">
        <v>73</v>
      </c>
      <c r="H2" s="98"/>
      <c r="I2" s="96"/>
      <c r="J2" s="63" t="s">
        <v>51</v>
      </c>
      <c r="K2" s="95" t="s">
        <v>8</v>
      </c>
      <c r="L2" s="96"/>
      <c r="M2" s="62" t="s">
        <v>9</v>
      </c>
      <c r="N2" s="62" t="s">
        <v>10</v>
      </c>
      <c r="O2" s="64" t="s">
        <v>52</v>
      </c>
      <c r="P2" s="64" t="s">
        <v>86</v>
      </c>
    </row>
    <row r="3" spans="1:17" ht="15.75" thickBot="1">
      <c r="A3" s="54" t="s">
        <v>84</v>
      </c>
      <c r="B3" s="55" t="s">
        <v>81</v>
      </c>
      <c r="C3" s="56" t="s">
        <v>95</v>
      </c>
      <c r="D3" s="56" t="s">
        <v>93</v>
      </c>
      <c r="E3" s="56" t="s">
        <v>94</v>
      </c>
      <c r="F3" s="56" t="s">
        <v>96</v>
      </c>
      <c r="G3" s="58" t="s">
        <v>84</v>
      </c>
      <c r="H3" s="92" t="s">
        <v>102</v>
      </c>
      <c r="I3" s="57" t="s">
        <v>92</v>
      </c>
      <c r="J3" s="65"/>
      <c r="K3" s="83" t="s">
        <v>97</v>
      </c>
      <c r="L3" s="84" t="s">
        <v>98</v>
      </c>
      <c r="M3" s="65"/>
      <c r="N3" s="65"/>
      <c r="O3" s="65"/>
      <c r="P3" s="65"/>
    </row>
    <row r="4" spans="1:17">
      <c r="A4" s="68" t="s">
        <v>65</v>
      </c>
      <c r="B4" s="71" t="s">
        <v>70</v>
      </c>
      <c r="C4" s="53">
        <f>Arrivi!D2</f>
        <v>5.2054794520547946E-2</v>
      </c>
      <c r="D4" s="53">
        <f>Uscite!D3</f>
        <v>12.105479452054794</v>
      </c>
      <c r="E4" s="53">
        <f>Uscite!J3</f>
        <v>30.264383561643836</v>
      </c>
      <c r="F4" s="53">
        <f>C4*(1-Uscite!E8-Uscite!K8)</f>
        <v>5.2032017974239959E-2</v>
      </c>
      <c r="G4" s="90" t="s">
        <v>65</v>
      </c>
      <c r="H4" s="91" t="s">
        <v>105</v>
      </c>
      <c r="I4" s="59">
        <f>Arrivi!D16</f>
        <v>22.411872146118721</v>
      </c>
      <c r="J4" s="73">
        <f>1/I$4</f>
        <v>4.4619208671203295E-2</v>
      </c>
      <c r="K4" s="77">
        <f>F4*J4</f>
        <v>2.3216274675764135E-3</v>
      </c>
      <c r="L4" s="77">
        <f>SUM(K$4:K$6)</f>
        <v>1.2369148771221818</v>
      </c>
      <c r="M4" s="73">
        <f>IF(MOD(ROW(),3)=1,(L4*J4)/(1-K4),IF(MOD(ROW(),3)=2,(L4*J4)/((1-K3)*(1-K3-K4)), IF(MOD(ROW(),3)=0,(L4*J4)/((1-K2-K3)*(1-L4)))))</f>
        <v>5.5318592173888965E-2</v>
      </c>
      <c r="N4" s="73">
        <f t="shared" ref="N4:N15" si="0">M4+J4</f>
        <v>9.9937800845092267E-2</v>
      </c>
      <c r="O4" s="61"/>
      <c r="P4" s="61"/>
      <c r="Q4" s="85">
        <f t="shared" ref="Q4:Q15" si="1">(D4/E4)</f>
        <v>0.39999094735889196</v>
      </c>
    </row>
    <row r="5" spans="1:17">
      <c r="A5" s="69"/>
      <c r="B5" s="72" t="s">
        <v>71</v>
      </c>
      <c r="C5" s="53">
        <f>Arrivi!D3</f>
        <v>37.680365296803657</v>
      </c>
      <c r="D5" s="53">
        <f>Uscite!D4</f>
        <v>3.6529680365296802E-3</v>
      </c>
      <c r="E5" s="53">
        <f>Uscite!J4</f>
        <v>9.1324200913242021E-3</v>
      </c>
      <c r="F5" s="53">
        <f>C5*(1-Uscite!E9-Uscite!K9)</f>
        <v>24.697378956190793</v>
      </c>
      <c r="G5" s="90"/>
      <c r="H5" s="91" t="s">
        <v>103</v>
      </c>
      <c r="I5" s="59">
        <f>Arrivi!D17</f>
        <v>12.106849315068493</v>
      </c>
      <c r="J5" s="73">
        <f>1/I$4</f>
        <v>4.4619208671203295E-2</v>
      </c>
      <c r="K5" s="77">
        <f t="shared" ref="K5:K15" si="2">F5*J5</f>
        <v>1.101977505278062</v>
      </c>
      <c r="L5" s="77">
        <f t="shared" ref="L5:L6" si="3">SUM(K$4:K$6)</f>
        <v>1.2369148771221818</v>
      </c>
      <c r="M5" s="73">
        <f>IF(MOD(ROW(),3)=1,(L5*J5)/(1-K5),IF(MOD(ROW(),3)=2,(L5*J5)/((1-K4)*(1-K4-K5)), IF(MOD(ROW(),3)=0,(L5*J5)/((1-K3-K4)*(1-L5)))))</f>
        <v>-0.53038400912496841</v>
      </c>
      <c r="N5" s="73">
        <f t="shared" si="0"/>
        <v>-0.48576480045376513</v>
      </c>
      <c r="O5" s="61"/>
      <c r="P5" s="61"/>
      <c r="Q5" s="85">
        <f t="shared" si="1"/>
        <v>0.39999999999999991</v>
      </c>
    </row>
    <row r="6" spans="1:17">
      <c r="A6" s="70"/>
      <c r="B6" s="71" t="s">
        <v>72</v>
      </c>
      <c r="C6" s="53">
        <f>Arrivi!D4</f>
        <v>12.232876712328768</v>
      </c>
      <c r="D6" s="53">
        <f>Uscite!D5</f>
        <v>4.6054794520547944</v>
      </c>
      <c r="E6" s="53">
        <f>Uscite!J5</f>
        <v>7.961187214611873</v>
      </c>
      <c r="F6" s="53">
        <f>C6*(1-Uscite!E10-Uscite!K10)</f>
        <v>2.9721671075294531</v>
      </c>
      <c r="G6" s="90"/>
      <c r="H6" s="91" t="s">
        <v>104</v>
      </c>
      <c r="I6" s="59">
        <f>Arrivi!D18</f>
        <v>10.305022831050229</v>
      </c>
      <c r="J6" s="73">
        <f t="shared" ref="J5:J6" si="4">1/I$4</f>
        <v>4.4619208671203295E-2</v>
      </c>
      <c r="K6" s="77">
        <f t="shared" si="2"/>
        <v>0.13261574437654339</v>
      </c>
      <c r="L6" s="77">
        <f t="shared" si="3"/>
        <v>1.2369148771221818</v>
      </c>
      <c r="M6" s="73">
        <f>IF(MOD(ROW(),3)=1,(L6*J6)/(1-K6),IF(MOD(ROW(),3)=2,(L6*J6)/((1-K5)*(1-K5-K6)), IF(MOD(ROW(),3)=0,(L6*J6)/((1-K4-K5)*(1-L6)))))</f>
        <v>2.2335138319242218</v>
      </c>
      <c r="N6" s="73">
        <f t="shared" si="0"/>
        <v>2.2781330405954252</v>
      </c>
      <c r="O6" s="61"/>
      <c r="P6" s="60"/>
      <c r="Q6" s="85">
        <f t="shared" si="1"/>
        <v>0.57849154000573555</v>
      </c>
    </row>
    <row r="7" spans="1:17">
      <c r="A7" s="68" t="s">
        <v>66</v>
      </c>
      <c r="B7" s="71" t="s">
        <v>70</v>
      </c>
      <c r="C7" s="53">
        <f>Arrivi!D5</f>
        <v>2.9223744292237442E-2</v>
      </c>
      <c r="D7" s="53">
        <f>Uscite!D6</f>
        <v>7.7082191780821914</v>
      </c>
      <c r="E7" s="53">
        <f>Uscite!J6</f>
        <v>25.421004566210044</v>
      </c>
      <c r="F7" s="53">
        <f>C7*(1-Uscite!E12-Uscite!K12)</f>
        <v>2.9220216881423858E-2</v>
      </c>
      <c r="G7" s="90" t="s">
        <v>66</v>
      </c>
      <c r="H7" s="91" t="s">
        <v>105</v>
      </c>
      <c r="I7" s="59">
        <f>Arrivi!D19</f>
        <v>13.938356164383562</v>
      </c>
      <c r="J7" s="73">
        <f>1/I$7</f>
        <v>7.1744471744471738E-2</v>
      </c>
      <c r="K7" s="77">
        <f t="shared" si="2"/>
        <v>2.0963890244166498E-3</v>
      </c>
      <c r="L7" s="77">
        <f>SUM(K$7:K$9)</f>
        <v>1.8014506330776059</v>
      </c>
      <c r="M7" s="73">
        <f t="shared" ref="M7:M14" si="5">IF(MOD(ROW(),3)=1,(L7*J7)/(1-K7),IF(MOD(ROW(),3)=2,(L7*J7)/((1-K6)*(1-K6-K7)), IF(MOD(ROW(),3)=0,(L7*J7)/((1-K5-K6)*(1-L7)))))</f>
        <v>0.12951563920842385</v>
      </c>
      <c r="N7" s="73">
        <f t="shared" si="0"/>
        <v>0.20126011095289559</v>
      </c>
      <c r="O7" s="61"/>
      <c r="P7" s="60"/>
      <c r="Q7" s="85">
        <f t="shared" si="1"/>
        <v>0.30322244575370022</v>
      </c>
    </row>
    <row r="8" spans="1:17">
      <c r="A8" s="69"/>
      <c r="B8" s="72" t="s">
        <v>71</v>
      </c>
      <c r="C8" s="53">
        <f>Arrivi!D6</f>
        <v>24.666210045662098</v>
      </c>
      <c r="D8" s="53">
        <f>Uscite!D7</f>
        <v>6.338356164383562</v>
      </c>
      <c r="E8" s="53">
        <f>Uscite!J7</f>
        <v>15.703652968036529</v>
      </c>
      <c r="F8" s="53">
        <f>C8*(1-Uscite!E13-Uscite!K13)</f>
        <v>20.27376787605273</v>
      </c>
      <c r="G8" s="90"/>
      <c r="H8" s="91" t="s">
        <v>103</v>
      </c>
      <c r="I8" s="59">
        <f>Arrivi!D20</f>
        <v>9.3986301369863021</v>
      </c>
      <c r="J8" s="73">
        <f t="shared" ref="J8:J9" si="6">1/I$7</f>
        <v>7.1744471744471738E-2</v>
      </c>
      <c r="K8" s="77">
        <f t="shared" si="2"/>
        <v>1.4545307665374438</v>
      </c>
      <c r="L8" s="77">
        <f t="shared" ref="L8:L9" si="7">SUM(K$7:K$9)</f>
        <v>1.8014506330776059</v>
      </c>
      <c r="M8" s="73">
        <f t="shared" si="5"/>
        <v>-0.28363542910421158</v>
      </c>
      <c r="N8" s="73">
        <f t="shared" si="0"/>
        <v>-0.21189095735973984</v>
      </c>
      <c r="O8" s="61"/>
      <c r="P8" s="61"/>
      <c r="Q8" s="85">
        <f t="shared" si="1"/>
        <v>0.40362304091186652</v>
      </c>
    </row>
    <row r="9" spans="1:17">
      <c r="A9" s="70"/>
      <c r="B9" s="71" t="s">
        <v>72</v>
      </c>
      <c r="C9" s="53">
        <f>Arrivi!D7</f>
        <v>8.6420091324200925</v>
      </c>
      <c r="D9" s="53">
        <f>Uscite!D8</f>
        <v>2.7397260273972603E-3</v>
      </c>
      <c r="E9" s="53">
        <f>Uscite!J8</f>
        <v>6.392694063926941E-3</v>
      </c>
      <c r="F9" s="53">
        <f>C9*(1-Uscite!E14-Uscite!K14)</f>
        <v>4.806272443455768</v>
      </c>
      <c r="G9" s="90"/>
      <c r="H9" s="91" t="s">
        <v>104</v>
      </c>
      <c r="I9" s="59">
        <f>Arrivi!D21</f>
        <v>4.5397260273972604</v>
      </c>
      <c r="J9" s="73">
        <f t="shared" si="6"/>
        <v>7.1744471744471738E-2</v>
      </c>
      <c r="K9" s="77">
        <f t="shared" si="2"/>
        <v>0.34482347751574549</v>
      </c>
      <c r="L9" s="77">
        <f t="shared" si="7"/>
        <v>1.8014506330776059</v>
      </c>
      <c r="M9" s="73">
        <f t="shared" si="5"/>
        <v>0.35316064049611201</v>
      </c>
      <c r="N9" s="73">
        <f t="shared" si="0"/>
        <v>0.42490511224058375</v>
      </c>
      <c r="O9" s="61"/>
      <c r="P9" s="61"/>
      <c r="Q9" s="85">
        <f t="shared" si="1"/>
        <v>0.42857142857142855</v>
      </c>
    </row>
    <row r="10" spans="1:17">
      <c r="A10" s="68" t="s">
        <v>67</v>
      </c>
      <c r="B10" s="71" t="s">
        <v>70</v>
      </c>
      <c r="C10" s="53">
        <f>Arrivi!D8</f>
        <v>1.643835616438356E-2</v>
      </c>
      <c r="D10" s="53">
        <f>Uscite!D9</f>
        <v>2.5036529680365298</v>
      </c>
      <c r="E10" s="53">
        <f>Uscite!J9</f>
        <v>4.1684931506849319</v>
      </c>
      <c r="F10" s="53">
        <f>C10*(1-Uscite!E16-Uscite!K16)</f>
        <v>1.643835616438356E-2</v>
      </c>
      <c r="G10" s="90" t="s">
        <v>67</v>
      </c>
      <c r="H10" s="91" t="s">
        <v>105</v>
      </c>
      <c r="I10" s="59">
        <f>Arrivi!D22</f>
        <v>4.3242009132420085</v>
      </c>
      <c r="J10" s="73">
        <f>1/I$10</f>
        <v>0.2312565997888068</v>
      </c>
      <c r="K10" s="77">
        <f t="shared" si="2"/>
        <v>3.8014783526927141E-3</v>
      </c>
      <c r="L10" s="77">
        <f>SUM(K$10:K$12)</f>
        <v>3.0450720626237562</v>
      </c>
      <c r="M10" s="73">
        <f t="shared" si="5"/>
        <v>0.7068802010966746</v>
      </c>
      <c r="N10" s="73">
        <f t="shared" si="0"/>
        <v>0.93813680088548135</v>
      </c>
      <c r="O10" s="61"/>
      <c r="P10" s="61"/>
      <c r="Q10" s="85">
        <f t="shared" si="1"/>
        <v>0.60061342972943366</v>
      </c>
    </row>
    <row r="11" spans="1:17">
      <c r="A11" s="69"/>
      <c r="B11" s="72" t="s">
        <v>71</v>
      </c>
      <c r="C11" s="53">
        <f>Arrivi!D9</f>
        <v>11.501369863013698</v>
      </c>
      <c r="D11" s="53">
        <f>Uscite!D10</f>
        <v>3.9470319634703199</v>
      </c>
      <c r="E11" s="53">
        <f>Uscite!J10</f>
        <v>13.043378995433789</v>
      </c>
      <c r="F11" s="53">
        <f>C11*(1-Uscite!E17-Uscite!K17)</f>
        <v>10.291591416965467</v>
      </c>
      <c r="G11" s="90"/>
      <c r="H11" s="91" t="s">
        <v>103</v>
      </c>
      <c r="I11" s="59">
        <f>Arrivi!D23</f>
        <v>2.9876712328767123</v>
      </c>
      <c r="J11" s="73">
        <f t="shared" ref="J11:J12" si="8">1/I$10</f>
        <v>0.2312565997888068</v>
      </c>
      <c r="K11" s="77">
        <f t="shared" si="2"/>
        <v>2.3799984375031022</v>
      </c>
      <c r="L11" s="77">
        <f t="shared" ref="L11:L12" si="9">SUM(K$10:K$12)</f>
        <v>3.0450720626237562</v>
      </c>
      <c r="M11" s="73">
        <f t="shared" si="5"/>
        <v>-0.51082544015007603</v>
      </c>
      <c r="N11" s="73">
        <f t="shared" si="0"/>
        <v>-0.27956884036126922</v>
      </c>
      <c r="O11" s="61"/>
      <c r="P11" s="61"/>
      <c r="Q11" s="85">
        <f t="shared" si="1"/>
        <v>0.30260808681953444</v>
      </c>
    </row>
    <row r="12" spans="1:17">
      <c r="A12" s="70"/>
      <c r="B12" s="71" t="s">
        <v>72</v>
      </c>
      <c r="C12" s="53">
        <f>Arrivi!D10</f>
        <v>3.7246575342465755</v>
      </c>
      <c r="D12" s="53">
        <f>Uscite!D11</f>
        <v>3.4981735159817351</v>
      </c>
      <c r="E12" s="53">
        <f>Uscite!J11</f>
        <v>8.9155251141552512</v>
      </c>
      <c r="F12" s="53">
        <f>C12*(1-Uscite!E18-Uscite!K18)</f>
        <v>2.8594736209555203</v>
      </c>
      <c r="G12" s="90"/>
      <c r="H12" s="91" t="s">
        <v>104</v>
      </c>
      <c r="I12" s="59">
        <f>Arrivi!D24</f>
        <v>1.3365296803652968</v>
      </c>
      <c r="J12" s="73">
        <f t="shared" si="8"/>
        <v>0.2312565997888068</v>
      </c>
      <c r="K12" s="77">
        <f t="shared" si="2"/>
        <v>0.66127214676796098</v>
      </c>
      <c r="L12" s="77">
        <f t="shared" si="9"/>
        <v>3.0450720626237562</v>
      </c>
      <c r="M12" s="73">
        <f t="shared" si="5"/>
        <v>0.24883404237817461</v>
      </c>
      <c r="N12" s="73">
        <f t="shared" si="0"/>
        <v>0.48009064216698139</v>
      </c>
      <c r="O12" s="61"/>
      <c r="P12" s="61"/>
      <c r="Q12" s="85">
        <f t="shared" si="1"/>
        <v>0.39236875800256082</v>
      </c>
    </row>
    <row r="13" spans="1:17">
      <c r="A13" s="68" t="s">
        <v>68</v>
      </c>
      <c r="B13" s="71" t="s">
        <v>70</v>
      </c>
      <c r="C13" s="53">
        <f>Arrivi!D11</f>
        <v>4.5662100456621011E-3</v>
      </c>
      <c r="D13" s="53">
        <f>Uscite!D12</f>
        <v>9.1324200913242006E-4</v>
      </c>
      <c r="E13" s="53">
        <f>Uscite!J12</f>
        <v>1.3698630136986301E-3</v>
      </c>
      <c r="F13" s="53">
        <f>C13*(1-Uscite!E20-Uscite!K20)</f>
        <v>4.5660033643582648E-3</v>
      </c>
      <c r="G13" s="90" t="s">
        <v>68</v>
      </c>
      <c r="H13" s="91" t="s">
        <v>105</v>
      </c>
      <c r="I13" s="59">
        <f>Arrivi!D25</f>
        <v>1.0904109589041096</v>
      </c>
      <c r="J13" s="73">
        <f>1/I$13</f>
        <v>0.91708542713567842</v>
      </c>
      <c r="K13" s="77">
        <f t="shared" si="2"/>
        <v>4.1874151457054441E-3</v>
      </c>
      <c r="L13" s="77">
        <f>SUM(K$13:K$15)</f>
        <v>3.4978397484868671</v>
      </c>
      <c r="M13" s="73">
        <f>IF(MOD(ROW(),3)=1,(L13*J13)/(1-K13),IF(MOD(ROW(),3)=2,(L13*J13)/((1-K12)*(1-K12-K13)), IF(MOD(ROW(),3)=0,(L13*J13)/((1-K11-K12)*(1-L13)))))</f>
        <v>3.2213068087130012</v>
      </c>
      <c r="N13" s="73">
        <f t="shared" si="0"/>
        <v>4.1383922358486798</v>
      </c>
      <c r="O13" s="61"/>
      <c r="P13" s="61"/>
      <c r="Q13" s="85">
        <f t="shared" si="1"/>
        <v>0.66666666666666663</v>
      </c>
    </row>
    <row r="14" spans="1:17">
      <c r="A14" s="69"/>
      <c r="B14" s="72" t="s">
        <v>71</v>
      </c>
      <c r="C14" s="53">
        <f>Arrivi!D12</f>
        <v>2.8799086757990868</v>
      </c>
      <c r="D14" s="53">
        <f>Uscite!D13</f>
        <v>1.2205479452054795</v>
      </c>
      <c r="E14" s="53">
        <f>Uscite!J13</f>
        <v>2.3378995433789957</v>
      </c>
      <c r="F14" s="53">
        <f>C14*(1-Uscite!E21-Uscite!K21)</f>
        <v>2.8347404821173301</v>
      </c>
      <c r="G14" s="90"/>
      <c r="H14" s="91" t="s">
        <v>103</v>
      </c>
      <c r="I14" s="59">
        <f>Arrivi!D26</f>
        <v>0.87168949771689508</v>
      </c>
      <c r="J14" s="73">
        <f t="shared" ref="J14:J15" si="10">1/I$13</f>
        <v>0.91708542713567842</v>
      </c>
      <c r="K14" s="77">
        <f>F14*J14</f>
        <v>2.5996991858613705</v>
      </c>
      <c r="L14" s="77">
        <f t="shared" ref="L14:L15" si="11">SUM(K$13:K$15)</f>
        <v>3.4978397484868671</v>
      </c>
      <c r="M14" s="73">
        <f t="shared" si="5"/>
        <v>-2.0084380072072126</v>
      </c>
      <c r="N14" s="73">
        <f t="shared" si="0"/>
        <v>-1.091352580071534</v>
      </c>
      <c r="O14" s="61"/>
      <c r="P14" s="61"/>
      <c r="Q14" s="85">
        <f t="shared" si="1"/>
        <v>0.52207031249999991</v>
      </c>
    </row>
    <row r="15" spans="1:17">
      <c r="A15" s="70"/>
      <c r="B15" s="71" t="s">
        <v>72</v>
      </c>
      <c r="C15" s="53">
        <f>Arrivi!D13</f>
        <v>1.0191780821917809</v>
      </c>
      <c r="D15" s="53">
        <f>Uscite!D14</f>
        <v>2.3237442922374427</v>
      </c>
      <c r="E15" s="53">
        <f>Uscite!J14</f>
        <v>7.6232876712328768</v>
      </c>
      <c r="F15" s="53">
        <f>C15*(1-Uscite!E22-Uscite!K22)</f>
        <v>0.97477630875878618</v>
      </c>
      <c r="G15" s="90"/>
      <c r="H15" s="91" t="s">
        <v>104</v>
      </c>
      <c r="I15" s="59">
        <f>Arrivi!D27</f>
        <v>0.21872146118721461</v>
      </c>
      <c r="J15" s="73">
        <f t="shared" si="10"/>
        <v>0.91708542713567842</v>
      </c>
      <c r="K15" s="77">
        <f t="shared" si="2"/>
        <v>0.89395314747979138</v>
      </c>
      <c r="L15" s="77">
        <f t="shared" si="11"/>
        <v>3.4978397484868671</v>
      </c>
      <c r="M15" s="73">
        <f>IF(MOD(ROW(),3)=1,(L15*J15)/(1-K15),IF(MOD(ROW(),3)=2,(L15*J15)/((1-K14)*(1-K14-K15)), IF(MOD(ROW(),3)=0,(L15*J15)/((1-K13-K14)*(1-L15)))))</f>
        <v>0.80070302535949034</v>
      </c>
      <c r="N15" s="73">
        <f t="shared" si="0"/>
        <v>1.7177884524951688</v>
      </c>
      <c r="O15" s="61"/>
      <c r="P15" s="61"/>
      <c r="Q15" s="85">
        <f t="shared" si="1"/>
        <v>0.30482180293501043</v>
      </c>
    </row>
    <row r="16" spans="1:17">
      <c r="A16" s="74"/>
      <c r="B16" s="74"/>
      <c r="C16" s="74"/>
      <c r="D16" s="74"/>
      <c r="E16" s="74"/>
      <c r="F16" s="74"/>
      <c r="I16" s="82"/>
      <c r="J16" s="82"/>
      <c r="K16" s="82"/>
      <c r="L16" s="82"/>
    </row>
    <row r="18" spans="1:13" ht="15.75" thickBot="1">
      <c r="A18" s="100" t="s">
        <v>88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1:13" ht="15.75" thickBot="1">
      <c r="A19" s="81" t="s">
        <v>84</v>
      </c>
      <c r="B19" s="80" t="s">
        <v>81</v>
      </c>
      <c r="C19" s="7" t="s">
        <v>89</v>
      </c>
      <c r="D19" s="7" t="s">
        <v>90</v>
      </c>
      <c r="E19" s="7" t="s">
        <v>91</v>
      </c>
      <c r="F19" s="62" t="s">
        <v>55</v>
      </c>
      <c r="G19" s="79" t="s">
        <v>51</v>
      </c>
      <c r="H19" s="66" t="s">
        <v>8</v>
      </c>
      <c r="I19" s="62" t="s">
        <v>9</v>
      </c>
      <c r="J19" s="62" t="s">
        <v>10</v>
      </c>
      <c r="K19" s="64" t="s">
        <v>52</v>
      </c>
      <c r="L19" s="64" t="s">
        <v>86</v>
      </c>
    </row>
    <row r="20" spans="1:13">
      <c r="A20" s="75" t="s">
        <v>65</v>
      </c>
      <c r="B20" s="55" t="s">
        <v>70</v>
      </c>
      <c r="C20" s="76" t="e">
        <f>Uscite!#REF!</f>
        <v>#REF!</v>
      </c>
      <c r="D20" s="74"/>
      <c r="E20" s="74"/>
      <c r="F20" s="74" t="e">
        <f>C20*(1-Uscite!#REF!-Uscite!#REF!)</f>
        <v>#REF!</v>
      </c>
      <c r="G20" s="77">
        <f>1/I$5</f>
        <v>8.2597872821905408E-2</v>
      </c>
      <c r="H20" s="77" t="e">
        <f t="shared" ref="H20:H31" si="12">F20*G20</f>
        <v>#REF!</v>
      </c>
      <c r="I20" s="77" t="e">
        <f>IF(B20="Critical",(H20*G20)/(1-H20),IF(B20="Normal",((H20+#REF!)*G20)/((1-H20-#REF!)*(1-H20)),IF(B20="Low",((H20+#REF!+H19)*G20)/((1-H20-#REF!-H19)*(1-H20-#REF!)))))</f>
        <v>#REF!</v>
      </c>
      <c r="J20" s="77" t="e">
        <f t="shared" ref="J20:J31" si="13">I20+G20</f>
        <v>#REF!</v>
      </c>
      <c r="K20" s="78"/>
      <c r="L20" s="78"/>
    </row>
    <row r="21" spans="1:13">
      <c r="A21" s="69"/>
      <c r="B21" s="72" t="s">
        <v>71</v>
      </c>
      <c r="C21" s="53" t="e">
        <f>Uscite!#REF!</f>
        <v>#REF!</v>
      </c>
      <c r="D21" s="74"/>
      <c r="E21" s="74"/>
      <c r="F21" s="74" t="e">
        <f>C21*(1-Uscite!#REF!-Uscite!#REF!)</f>
        <v>#REF!</v>
      </c>
      <c r="G21" s="73">
        <f>1/I$5</f>
        <v>8.2597872821905408E-2</v>
      </c>
      <c r="H21" s="73" t="e">
        <f t="shared" si="12"/>
        <v>#REF!</v>
      </c>
      <c r="I21" s="73" t="e">
        <f>IF(B21="Critical",(H21*G21)/(1-H21),IF(B21="Normal",((H21+H20)*G21)/((1-H21-H20)*(1-H21)),IF(B21="Low",((H21+H20+#REF!)*G21)/((1-H21-H20-#REF!)*(1-H21-H20)))))</f>
        <v>#REF!</v>
      </c>
      <c r="J21" s="73" t="e">
        <f t="shared" si="13"/>
        <v>#REF!</v>
      </c>
      <c r="K21" s="61"/>
      <c r="L21" s="61"/>
    </row>
    <row r="22" spans="1:13">
      <c r="A22" s="70"/>
      <c r="B22" s="71" t="s">
        <v>72</v>
      </c>
      <c r="C22" s="53" t="e">
        <f>Uscite!#REF!</f>
        <v>#REF!</v>
      </c>
      <c r="D22" s="74"/>
      <c r="E22" s="74"/>
      <c r="F22" s="74" t="e">
        <f>C22*(1-Uscite!#REF!-Uscite!#REF!)</f>
        <v>#REF!</v>
      </c>
      <c r="G22" s="73">
        <f>1/I$5</f>
        <v>8.2597872821905408E-2</v>
      </c>
      <c r="H22" s="73" t="e">
        <f t="shared" si="12"/>
        <v>#REF!</v>
      </c>
      <c r="I22" s="73" t="e">
        <f t="shared" ref="I22:I31" si="14">IF(B22="Critical",(H22*G22)/(1-H22),IF(B22="Normal",((H22+H21)*G22)/((1-H22-H21)*(1-H22)),IF(B22="Low",((H22+H21+H20)*G22)/((1-H22-H21-H20)*(1-H22-H21)))))</f>
        <v>#REF!</v>
      </c>
      <c r="J22" s="73" t="e">
        <f t="shared" si="13"/>
        <v>#REF!</v>
      </c>
      <c r="K22" s="61"/>
      <c r="L22" s="60"/>
    </row>
    <row r="23" spans="1:13">
      <c r="A23" s="68" t="s">
        <v>66</v>
      </c>
      <c r="B23" s="71" t="s">
        <v>70</v>
      </c>
      <c r="C23" s="53" t="e">
        <f>Uscite!#REF!</f>
        <v>#REF!</v>
      </c>
      <c r="D23" s="74"/>
      <c r="E23" s="74"/>
      <c r="F23" s="74" t="e">
        <f>C23*(1-Uscite!#REF!-Uscite!#REF!)</f>
        <v>#REF!</v>
      </c>
      <c r="G23" s="73">
        <f>1/I$6</f>
        <v>9.7040056717476064E-2</v>
      </c>
      <c r="H23" s="73" t="e">
        <f t="shared" si="12"/>
        <v>#REF!</v>
      </c>
      <c r="I23" s="73" t="e">
        <f t="shared" si="14"/>
        <v>#REF!</v>
      </c>
      <c r="J23" s="73" t="e">
        <f t="shared" si="13"/>
        <v>#REF!</v>
      </c>
      <c r="K23" s="61"/>
      <c r="L23" s="60"/>
    </row>
    <row r="24" spans="1:13">
      <c r="A24" s="69"/>
      <c r="B24" s="72" t="s">
        <v>71</v>
      </c>
      <c r="C24" s="53" t="e">
        <f>Uscite!#REF!</f>
        <v>#REF!</v>
      </c>
      <c r="D24" s="74"/>
      <c r="E24" s="74"/>
      <c r="F24" s="74" t="e">
        <f>C24*(1-Uscite!#REF!-Uscite!#REF!)</f>
        <v>#REF!</v>
      </c>
      <c r="G24" s="73">
        <f>1/I$6</f>
        <v>9.7040056717476064E-2</v>
      </c>
      <c r="H24" s="73" t="e">
        <f t="shared" si="12"/>
        <v>#REF!</v>
      </c>
      <c r="I24" s="73" t="e">
        <f t="shared" si="14"/>
        <v>#REF!</v>
      </c>
      <c r="J24" s="73" t="e">
        <f t="shared" si="13"/>
        <v>#REF!</v>
      </c>
      <c r="K24" s="61"/>
      <c r="L24" s="61"/>
    </row>
    <row r="25" spans="1:13">
      <c r="A25" s="70"/>
      <c r="B25" s="71" t="s">
        <v>72</v>
      </c>
      <c r="C25" s="53" t="e">
        <f>Uscite!#REF!</f>
        <v>#REF!</v>
      </c>
      <c r="D25" s="74"/>
      <c r="E25" s="74"/>
      <c r="F25" s="74" t="e">
        <f>C25*(1-Uscite!#REF!-Uscite!#REF!)</f>
        <v>#REF!</v>
      </c>
      <c r="G25" s="73">
        <f>1/I$6</f>
        <v>9.7040056717476064E-2</v>
      </c>
      <c r="H25" s="73" t="e">
        <f t="shared" si="12"/>
        <v>#REF!</v>
      </c>
      <c r="I25" s="73" t="e">
        <f t="shared" si="14"/>
        <v>#REF!</v>
      </c>
      <c r="J25" s="73" t="e">
        <f t="shared" si="13"/>
        <v>#REF!</v>
      </c>
      <c r="K25" s="61"/>
      <c r="L25" s="61"/>
    </row>
    <row r="26" spans="1:13">
      <c r="A26" s="68" t="s">
        <v>67</v>
      </c>
      <c r="B26" s="71" t="s">
        <v>70</v>
      </c>
      <c r="C26" s="53" t="e">
        <f>Uscite!#REF!</f>
        <v>#REF!</v>
      </c>
      <c r="D26" s="74"/>
      <c r="E26" s="74"/>
      <c r="F26" s="74" t="e">
        <f>C26*(1-Uscite!#REF!-Uscite!#REF!)</f>
        <v>#REF!</v>
      </c>
      <c r="G26" s="73">
        <f>1/I$8</f>
        <v>0.10639848418597871</v>
      </c>
      <c r="H26" s="73" t="e">
        <f t="shared" si="12"/>
        <v>#REF!</v>
      </c>
      <c r="I26" s="73" t="e">
        <f t="shared" si="14"/>
        <v>#REF!</v>
      </c>
      <c r="J26" s="73" t="e">
        <f t="shared" si="13"/>
        <v>#REF!</v>
      </c>
      <c r="K26" s="61"/>
      <c r="L26" s="61"/>
    </row>
    <row r="27" spans="1:13">
      <c r="A27" s="69"/>
      <c r="B27" s="72" t="s">
        <v>71</v>
      </c>
      <c r="C27" s="53" t="e">
        <f>Uscite!#REF!</f>
        <v>#REF!</v>
      </c>
      <c r="D27" s="74"/>
      <c r="E27" s="74"/>
      <c r="F27" s="74" t="e">
        <f>C27*(1-Uscite!#REF!-Uscite!#REF!)</f>
        <v>#REF!</v>
      </c>
      <c r="G27" s="73">
        <f>1/I$8</f>
        <v>0.10639848418597871</v>
      </c>
      <c r="H27" s="73" t="e">
        <f t="shared" si="12"/>
        <v>#REF!</v>
      </c>
      <c r="I27" s="73" t="e">
        <f t="shared" si="14"/>
        <v>#REF!</v>
      </c>
      <c r="J27" s="73" t="e">
        <f t="shared" si="13"/>
        <v>#REF!</v>
      </c>
      <c r="K27" s="61"/>
      <c r="L27" s="61"/>
    </row>
    <row r="28" spans="1:13">
      <c r="A28" s="70"/>
      <c r="B28" s="71" t="s">
        <v>72</v>
      </c>
      <c r="C28" s="53" t="e">
        <f>Uscite!#REF!</f>
        <v>#REF!</v>
      </c>
      <c r="D28" s="74"/>
      <c r="E28" s="74"/>
      <c r="F28" s="74" t="e">
        <f>C28*(1-Uscite!#REF!-Uscite!#REF!)</f>
        <v>#REF!</v>
      </c>
      <c r="G28" s="73">
        <f>1/I$8</f>
        <v>0.10639848418597871</v>
      </c>
      <c r="H28" s="73" t="e">
        <f t="shared" si="12"/>
        <v>#REF!</v>
      </c>
      <c r="I28" s="73" t="e">
        <f t="shared" si="14"/>
        <v>#REF!</v>
      </c>
      <c r="J28" s="73" t="e">
        <f t="shared" si="13"/>
        <v>#REF!</v>
      </c>
      <c r="K28" s="61"/>
      <c r="L28" s="61"/>
    </row>
    <row r="29" spans="1:13">
      <c r="A29" s="68" t="s">
        <v>68</v>
      </c>
      <c r="B29" s="71" t="s">
        <v>70</v>
      </c>
      <c r="C29" s="53" t="e">
        <f>Uscite!#REF!</f>
        <v>#REF!</v>
      </c>
      <c r="D29" s="74"/>
      <c r="E29" s="74"/>
      <c r="F29" s="74" t="e">
        <f>C29*(1-Uscite!#REF!-Uscite!#REF!)</f>
        <v>#REF!</v>
      </c>
      <c r="G29" s="73">
        <f>1/I$9</f>
        <v>0.22027761013880506</v>
      </c>
      <c r="H29" s="73" t="e">
        <f t="shared" si="12"/>
        <v>#REF!</v>
      </c>
      <c r="I29" s="73" t="e">
        <f t="shared" si="14"/>
        <v>#REF!</v>
      </c>
      <c r="J29" s="73" t="e">
        <f t="shared" si="13"/>
        <v>#REF!</v>
      </c>
      <c r="K29" s="61"/>
      <c r="L29" s="61"/>
    </row>
    <row r="30" spans="1:13">
      <c r="A30" s="69"/>
      <c r="B30" s="72" t="s">
        <v>71</v>
      </c>
      <c r="C30" s="53" t="e">
        <f>Uscite!#REF!</f>
        <v>#REF!</v>
      </c>
      <c r="D30" s="74"/>
      <c r="E30" s="74"/>
      <c r="F30" s="74" t="e">
        <f>C30*(1-Uscite!#REF!-Uscite!#REF!)</f>
        <v>#REF!</v>
      </c>
      <c r="G30" s="73">
        <f>1/I$9</f>
        <v>0.22027761013880506</v>
      </c>
      <c r="H30" s="73" t="e">
        <f t="shared" si="12"/>
        <v>#REF!</v>
      </c>
      <c r="I30" s="73" t="e">
        <f t="shared" si="14"/>
        <v>#REF!</v>
      </c>
      <c r="J30" s="73" t="e">
        <f t="shared" si="13"/>
        <v>#REF!</v>
      </c>
      <c r="K30" s="61"/>
      <c r="L30" s="61"/>
    </row>
    <row r="31" spans="1:13">
      <c r="A31" s="70"/>
      <c r="B31" s="71" t="s">
        <v>72</v>
      </c>
      <c r="C31" s="53" t="e">
        <f>Uscite!#REF!</f>
        <v>#REF!</v>
      </c>
      <c r="D31" s="74"/>
      <c r="E31" s="74"/>
      <c r="F31" s="74" t="e">
        <f>C31*(1-Uscite!F38-Uscite!G38)</f>
        <v>#REF!</v>
      </c>
      <c r="G31" s="73">
        <f>1/I$9</f>
        <v>0.22027761013880506</v>
      </c>
      <c r="H31" s="73" t="e">
        <f t="shared" si="12"/>
        <v>#REF!</v>
      </c>
      <c r="I31" s="73" t="e">
        <f t="shared" si="14"/>
        <v>#REF!</v>
      </c>
      <c r="J31" s="73" t="e">
        <f t="shared" si="13"/>
        <v>#REF!</v>
      </c>
      <c r="K31" s="61"/>
      <c r="L31" s="61"/>
    </row>
  </sheetData>
  <mergeCells count="5">
    <mergeCell ref="K2:L2"/>
    <mergeCell ref="A2:F2"/>
    <mergeCell ref="G2:I2"/>
    <mergeCell ref="A18:M18"/>
    <mergeCell ref="A1:M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6223-D9A4-4C2B-BB3D-A804EAC32B88}">
  <dimension ref="A1:P15"/>
  <sheetViews>
    <sheetView workbookViewId="0">
      <selection activeCell="H17" sqref="H17"/>
    </sheetView>
  </sheetViews>
  <sheetFormatPr defaultRowHeight="15"/>
  <cols>
    <col min="9" max="9" width="17.7109375" customWidth="1"/>
  </cols>
  <sheetData>
    <row r="1" spans="1:16" ht="15.75" thickBot="1">
      <c r="A1" s="100" t="s">
        <v>106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>
      <c r="A2" s="97" t="s">
        <v>80</v>
      </c>
      <c r="B2" s="98"/>
      <c r="C2" s="98"/>
      <c r="D2" s="98"/>
      <c r="E2" s="98"/>
      <c r="F2" s="96"/>
      <c r="G2" s="99" t="s">
        <v>73</v>
      </c>
      <c r="H2" s="98"/>
      <c r="I2" s="96"/>
      <c r="J2" s="63" t="s">
        <v>51</v>
      </c>
      <c r="K2" s="95" t="s">
        <v>8</v>
      </c>
      <c r="L2" s="96"/>
      <c r="M2" s="62" t="s">
        <v>9</v>
      </c>
      <c r="N2" s="62" t="s">
        <v>10</v>
      </c>
      <c r="O2" s="64" t="s">
        <v>52</v>
      </c>
      <c r="P2" s="64" t="s">
        <v>86</v>
      </c>
    </row>
    <row r="3" spans="1:16" ht="15.75" thickBot="1">
      <c r="A3" s="54" t="s">
        <v>84</v>
      </c>
      <c r="B3" s="55" t="s">
        <v>81</v>
      </c>
      <c r="C3" s="56" t="s">
        <v>95</v>
      </c>
      <c r="D3" s="56" t="s">
        <v>93</v>
      </c>
      <c r="E3" s="56" t="s">
        <v>94</v>
      </c>
      <c r="F3" s="56" t="s">
        <v>96</v>
      </c>
      <c r="G3" s="58" t="s">
        <v>84</v>
      </c>
      <c r="H3" s="92" t="s">
        <v>102</v>
      </c>
      <c r="I3" s="57" t="s">
        <v>92</v>
      </c>
      <c r="J3" s="65"/>
      <c r="K3" s="83" t="s">
        <v>97</v>
      </c>
      <c r="L3" s="84" t="s">
        <v>98</v>
      </c>
      <c r="M3" s="65"/>
      <c r="N3" s="65"/>
      <c r="O3" s="65"/>
      <c r="P3" s="65"/>
    </row>
    <row r="4" spans="1:16">
      <c r="A4" s="68" t="s">
        <v>65</v>
      </c>
      <c r="B4" s="71" t="s">
        <v>70</v>
      </c>
      <c r="C4" s="53">
        <f>Arrivi!D2</f>
        <v>5.2054794520547946E-2</v>
      </c>
      <c r="D4" s="53">
        <f>Uscite!C3</f>
        <v>4418.5</v>
      </c>
      <c r="E4" s="53" t="e">
        <f>Uscite!#REF!</f>
        <v>#REF!</v>
      </c>
      <c r="F4" s="53" t="e">
        <f>C4*(1-Uscite!#REF!-Uscite!#REF!)</f>
        <v>#REF!</v>
      </c>
      <c r="G4" s="90" t="s">
        <v>65</v>
      </c>
      <c r="H4" s="91" t="s">
        <v>105</v>
      </c>
      <c r="I4" s="93">
        <f>SUM(I5:I6)</f>
        <v>34.518721461187212</v>
      </c>
      <c r="J4" s="73">
        <f>1/I$4</f>
        <v>2.8969786761204298E-2</v>
      </c>
      <c r="K4" s="77" t="e">
        <f>F4*J4</f>
        <v>#REF!</v>
      </c>
      <c r="L4" s="77" t="e">
        <f>SUM(K$4:K$6)</f>
        <v>#REF!</v>
      </c>
      <c r="M4" s="73" t="e">
        <f>IF(MOD(ROW(),3)=1,(L4*J4)/(1-K4),IF(MOD(ROW(),3)=2,(L4*J4)/((1-K3)*(1-K3-K4)), IF(MOD(ROW(),3)=0,(L4*J4)/((1-K2-K3)*(1-L4)))))</f>
        <v>#REF!</v>
      </c>
      <c r="N4" s="73" t="e">
        <f t="shared" ref="N4:N15" si="0">M4+J4</f>
        <v>#REF!</v>
      </c>
      <c r="O4" s="61"/>
      <c r="P4" s="61"/>
    </row>
    <row r="5" spans="1:16">
      <c r="A5" s="69"/>
      <c r="B5" s="72" t="s">
        <v>71</v>
      </c>
      <c r="C5" s="53">
        <f>Arrivi!D3</f>
        <v>37.680365296803657</v>
      </c>
      <c r="D5" s="53">
        <f>Uscite!C4</f>
        <v>1.3333333333333333</v>
      </c>
      <c r="E5" s="53" t="e">
        <f>Uscite!#REF!</f>
        <v>#REF!</v>
      </c>
      <c r="F5" s="53" t="e">
        <f>C5*(1-Uscite!#REF!-Uscite!#REF!)</f>
        <v>#REF!</v>
      </c>
      <c r="G5" s="90"/>
      <c r="H5" s="91" t="s">
        <v>103</v>
      </c>
      <c r="I5" s="59">
        <f>Arrivi!D16</f>
        <v>22.411872146118721</v>
      </c>
      <c r="J5" s="73">
        <f t="shared" ref="J5:J6" si="1">1/I$4</f>
        <v>2.8969786761204298E-2</v>
      </c>
      <c r="K5" s="77" t="e">
        <f t="shared" ref="K5:K15" si="2">F5*J5</f>
        <v>#REF!</v>
      </c>
      <c r="L5" s="77" t="e">
        <f t="shared" ref="L5:L6" si="3">SUM(K$4:K$6)</f>
        <v>#REF!</v>
      </c>
      <c r="M5" s="73" t="e">
        <f t="shared" ref="M5:M14" si="4">IF(MOD(ROW(),3)=1,(L5*J5)/(1-K5),IF(MOD(ROW(),3)=2,(L5*J5)/((1-K4)*(1-K4-K5)), IF(MOD(ROW(),3)=0,(L5*J5)/((1-K3-K4)*(1-L5)))))</f>
        <v>#REF!</v>
      </c>
      <c r="N5" s="73" t="e">
        <f t="shared" si="0"/>
        <v>#REF!</v>
      </c>
      <c r="O5" s="61"/>
      <c r="P5" s="61"/>
    </row>
    <row r="6" spans="1:16">
      <c r="A6" s="70"/>
      <c r="B6" s="71" t="s">
        <v>72</v>
      </c>
      <c r="C6" s="53">
        <f>Arrivi!D4</f>
        <v>12.232876712328768</v>
      </c>
      <c r="D6" s="53">
        <f>Uscite!C5</f>
        <v>1681</v>
      </c>
      <c r="E6" s="53" t="e">
        <f>Uscite!#REF!</f>
        <v>#REF!</v>
      </c>
      <c r="F6" s="53" t="e">
        <f>C6*(1-Uscite!#REF!-Uscite!#REF!)</f>
        <v>#REF!</v>
      </c>
      <c r="G6" s="90"/>
      <c r="H6" s="91" t="s">
        <v>104</v>
      </c>
      <c r="I6" s="59">
        <f>Arrivi!D17</f>
        <v>12.106849315068493</v>
      </c>
      <c r="J6" s="73">
        <f t="shared" si="1"/>
        <v>2.8969786761204298E-2</v>
      </c>
      <c r="K6" s="77" t="e">
        <f t="shared" si="2"/>
        <v>#REF!</v>
      </c>
      <c r="L6" s="77" t="e">
        <f t="shared" si="3"/>
        <v>#REF!</v>
      </c>
      <c r="M6" s="73" t="e">
        <f t="shared" si="4"/>
        <v>#REF!</v>
      </c>
      <c r="N6" s="73" t="e">
        <f t="shared" si="0"/>
        <v>#REF!</v>
      </c>
      <c r="O6" s="61"/>
      <c r="P6" s="60"/>
    </row>
    <row r="7" spans="1:16">
      <c r="A7" s="68" t="s">
        <v>66</v>
      </c>
      <c r="B7" s="71" t="s">
        <v>70</v>
      </c>
      <c r="C7" s="53">
        <f>Arrivi!D5</f>
        <v>2.9223744292237442E-2</v>
      </c>
      <c r="D7" s="53">
        <f>Uscite!C6</f>
        <v>2813.5</v>
      </c>
      <c r="E7" s="53" t="e">
        <f>Uscite!#REF!</f>
        <v>#REF!</v>
      </c>
      <c r="F7" s="53" t="e">
        <f>C7*(1-Uscite!#REF!-Uscite!#REF!)</f>
        <v>#REF!</v>
      </c>
      <c r="G7" s="90" t="s">
        <v>66</v>
      </c>
      <c r="H7" s="91" t="s">
        <v>105</v>
      </c>
      <c r="I7" s="93">
        <f>SUM(I8:I9)</f>
        <v>24.24337899543379</v>
      </c>
      <c r="J7" s="73">
        <f>1/(I$7+I$4)</f>
        <v>1.7017771526703914E-2</v>
      </c>
      <c r="K7" s="77" t="e">
        <f t="shared" si="2"/>
        <v>#REF!</v>
      </c>
      <c r="L7" s="77" t="e">
        <f>SUM(K$7:K$9)</f>
        <v>#REF!</v>
      </c>
      <c r="M7" s="73" t="e">
        <f t="shared" si="4"/>
        <v>#REF!</v>
      </c>
      <c r="N7" s="73" t="e">
        <f t="shared" si="0"/>
        <v>#REF!</v>
      </c>
      <c r="O7" s="61"/>
      <c r="P7" s="60"/>
    </row>
    <row r="8" spans="1:16">
      <c r="A8" s="69"/>
      <c r="B8" s="72" t="s">
        <v>71</v>
      </c>
      <c r="C8" s="53">
        <f>Arrivi!D6</f>
        <v>24.666210045662098</v>
      </c>
      <c r="D8" s="53">
        <f>Uscite!C7</f>
        <v>2313.5</v>
      </c>
      <c r="E8" s="53" t="e">
        <f>Uscite!#REF!</f>
        <v>#REF!</v>
      </c>
      <c r="F8" s="53" t="e">
        <f>C8*(1-Uscite!#REF!-Uscite!#REF!)</f>
        <v>#REF!</v>
      </c>
      <c r="G8" s="90"/>
      <c r="H8" s="91" t="s">
        <v>103</v>
      </c>
      <c r="I8" s="59">
        <f>Arrivi!D18</f>
        <v>10.305022831050229</v>
      </c>
      <c r="J8" s="73">
        <f t="shared" ref="J8:J9" si="5">1/(I$7+I$4)</f>
        <v>1.7017771526703914E-2</v>
      </c>
      <c r="K8" s="77" t="e">
        <f t="shared" si="2"/>
        <v>#REF!</v>
      </c>
      <c r="L8" s="77" t="e">
        <f t="shared" ref="L8:L9" si="6">SUM(K$7:K$9)</f>
        <v>#REF!</v>
      </c>
      <c r="M8" s="73" t="e">
        <f t="shared" si="4"/>
        <v>#REF!</v>
      </c>
      <c r="N8" s="73" t="e">
        <f t="shared" si="0"/>
        <v>#REF!</v>
      </c>
      <c r="O8" s="61"/>
      <c r="P8" s="61"/>
    </row>
    <row r="9" spans="1:16">
      <c r="A9" s="70"/>
      <c r="B9" s="71" t="s">
        <v>72</v>
      </c>
      <c r="C9" s="53">
        <f>Arrivi!D7</f>
        <v>8.6420091324200925</v>
      </c>
      <c r="D9" s="53">
        <f>Uscite!C8</f>
        <v>1</v>
      </c>
      <c r="E9" s="53" t="e">
        <f>Uscite!#REF!</f>
        <v>#REF!</v>
      </c>
      <c r="F9" s="53" t="e">
        <f>C9*(1-Uscite!#REF!-Uscite!#REF!)</f>
        <v>#REF!</v>
      </c>
      <c r="G9" s="90"/>
      <c r="H9" s="91" t="s">
        <v>104</v>
      </c>
      <c r="I9" s="59">
        <f>Arrivi!D19</f>
        <v>13.938356164383562</v>
      </c>
      <c r="J9" s="73">
        <f t="shared" si="5"/>
        <v>1.7017771526703914E-2</v>
      </c>
      <c r="K9" s="77" t="e">
        <f t="shared" si="2"/>
        <v>#REF!</v>
      </c>
      <c r="L9" s="77" t="e">
        <f t="shared" si="6"/>
        <v>#REF!</v>
      </c>
      <c r="M9" s="73" t="e">
        <f t="shared" si="4"/>
        <v>#REF!</v>
      </c>
      <c r="N9" s="73" t="e">
        <f t="shared" si="0"/>
        <v>#REF!</v>
      </c>
      <c r="O9" s="61"/>
      <c r="P9" s="61"/>
    </row>
    <row r="10" spans="1:16">
      <c r="A10" s="68" t="s">
        <v>67</v>
      </c>
      <c r="B10" s="71" t="s">
        <v>70</v>
      </c>
      <c r="C10" s="53">
        <f>Arrivi!D8</f>
        <v>1.643835616438356E-2</v>
      </c>
      <c r="D10" s="53">
        <f>Uscite!C9</f>
        <v>913.83333333333337</v>
      </c>
      <c r="E10" s="53" t="e">
        <f>Uscite!#REF!</f>
        <v>#REF!</v>
      </c>
      <c r="F10" s="53" t="e">
        <f>C10*(1-Uscite!#REF!-Uscite!#REF!)</f>
        <v>#REF!</v>
      </c>
      <c r="G10" s="90" t="s">
        <v>67</v>
      </c>
      <c r="H10" s="91" t="s">
        <v>105</v>
      </c>
      <c r="I10" s="93">
        <f>SUM(I11:I12)</f>
        <v>13.938356164383563</v>
      </c>
      <c r="J10" s="73">
        <f>1/(I$10+I$4)</f>
        <v>2.0636820233507033E-2</v>
      </c>
      <c r="K10" s="77" t="e">
        <f t="shared" si="2"/>
        <v>#REF!</v>
      </c>
      <c r="L10" s="77" t="e">
        <f>SUM(K$10:K$12)</f>
        <v>#REF!</v>
      </c>
      <c r="M10" s="73" t="e">
        <f t="shared" si="4"/>
        <v>#REF!</v>
      </c>
      <c r="N10" s="73" t="e">
        <f t="shared" si="0"/>
        <v>#REF!</v>
      </c>
      <c r="O10" s="61"/>
      <c r="P10" s="61"/>
    </row>
    <row r="11" spans="1:16">
      <c r="A11" s="69"/>
      <c r="B11" s="72" t="s">
        <v>71</v>
      </c>
      <c r="C11" s="53">
        <f>Arrivi!D9</f>
        <v>11.501369863013698</v>
      </c>
      <c r="D11" s="53">
        <f>Uscite!C10</f>
        <v>1440.6666666666667</v>
      </c>
      <c r="E11" s="53" t="e">
        <f>Uscite!#REF!</f>
        <v>#REF!</v>
      </c>
      <c r="F11" s="53" t="e">
        <f>C11*(1-Uscite!#REF!-Uscite!#REF!)</f>
        <v>#REF!</v>
      </c>
      <c r="G11" s="90"/>
      <c r="H11" s="91" t="s">
        <v>103</v>
      </c>
      <c r="I11" s="59">
        <f>Arrivi!D20</f>
        <v>9.3986301369863021</v>
      </c>
      <c r="J11" s="73">
        <f t="shared" ref="J11" si="7">1/(I$10+I$4)</f>
        <v>2.0636820233507033E-2</v>
      </c>
      <c r="K11" s="77" t="e">
        <f t="shared" si="2"/>
        <v>#REF!</v>
      </c>
      <c r="L11" s="77" t="e">
        <f t="shared" ref="L11:L12" si="8">SUM(K$10:K$12)</f>
        <v>#REF!</v>
      </c>
      <c r="M11" s="73" t="e">
        <f t="shared" si="4"/>
        <v>#REF!</v>
      </c>
      <c r="N11" s="73" t="e">
        <f t="shared" si="0"/>
        <v>#REF!</v>
      </c>
      <c r="O11" s="61"/>
      <c r="P11" s="61"/>
    </row>
    <row r="12" spans="1:16">
      <c r="A12" s="70"/>
      <c r="B12" s="71" t="s">
        <v>72</v>
      </c>
      <c r="C12" s="53">
        <f>Arrivi!D10</f>
        <v>3.7246575342465755</v>
      </c>
      <c r="D12" s="53">
        <f>Uscite!C11</f>
        <v>1276.8333333333333</v>
      </c>
      <c r="E12" s="53" t="e">
        <f>Uscite!#REF!</f>
        <v>#REF!</v>
      </c>
      <c r="F12" s="53" t="e">
        <f>C12*(1-Uscite!#REF!-Uscite!#REF!)</f>
        <v>#REF!</v>
      </c>
      <c r="G12" s="90"/>
      <c r="H12" s="91" t="s">
        <v>104</v>
      </c>
      <c r="I12" s="59">
        <f>Arrivi!D21</f>
        <v>4.5397260273972604</v>
      </c>
      <c r="J12" s="73">
        <f>1/(I$10+I$4)</f>
        <v>2.0636820233507033E-2</v>
      </c>
      <c r="K12" s="77" t="e">
        <f t="shared" si="2"/>
        <v>#REF!</v>
      </c>
      <c r="L12" s="77" t="e">
        <f t="shared" si="8"/>
        <v>#REF!</v>
      </c>
      <c r="M12" s="73" t="e">
        <f t="shared" si="4"/>
        <v>#REF!</v>
      </c>
      <c r="N12" s="73" t="e">
        <f t="shared" si="0"/>
        <v>#REF!</v>
      </c>
      <c r="O12" s="61"/>
      <c r="P12" s="61"/>
    </row>
    <row r="13" spans="1:16">
      <c r="A13" s="68" t="s">
        <v>68</v>
      </c>
      <c r="B13" s="71" t="s">
        <v>70</v>
      </c>
      <c r="C13" s="53">
        <f>Arrivi!D11</f>
        <v>4.5662100456621011E-3</v>
      </c>
      <c r="D13" s="53">
        <f>Uscite!C12</f>
        <v>0.33333333333333331</v>
      </c>
      <c r="E13" s="53" t="e">
        <f>Uscite!#REF!</f>
        <v>#REF!</v>
      </c>
      <c r="F13" s="53" t="e">
        <f>C13*(1-Uscite!#REF!-Uscite!#REF!)</f>
        <v>#REF!</v>
      </c>
      <c r="G13" s="90" t="s">
        <v>68</v>
      </c>
      <c r="H13" s="91" t="s">
        <v>105</v>
      </c>
      <c r="I13" s="93">
        <f>SUM(I14:I15)</f>
        <v>7.3118721461187208</v>
      </c>
      <c r="J13" s="73">
        <f>1/(I$13+I$10+I$7+I$4)</f>
        <v>1.2498073926963312E-2</v>
      </c>
      <c r="K13" s="77" t="e">
        <f t="shared" si="2"/>
        <v>#REF!</v>
      </c>
      <c r="L13" s="77" t="e">
        <f>SUM(K$13:K$15)</f>
        <v>#REF!</v>
      </c>
      <c r="M13" s="73" t="e">
        <f>IF(MOD(ROW(),3)=1,(L13*J13)/(1-K13),IF(MOD(ROW(),3)=2,(L13*J13)/((1-K12)*(1-K12-K13)), IF(MOD(ROW(),3)=0,(L13*J13)/((1-K11-K12)*(1-L13)))))</f>
        <v>#REF!</v>
      </c>
      <c r="N13" s="73" t="e">
        <f t="shared" si="0"/>
        <v>#REF!</v>
      </c>
      <c r="O13" s="61"/>
      <c r="P13" s="61"/>
    </row>
    <row r="14" spans="1:16">
      <c r="A14" s="69"/>
      <c r="B14" s="72" t="s">
        <v>71</v>
      </c>
      <c r="C14" s="53">
        <f>Arrivi!D12</f>
        <v>2.8799086757990868</v>
      </c>
      <c r="D14" s="53">
        <f>Uscite!C13</f>
        <v>445.5</v>
      </c>
      <c r="E14" s="53" t="e">
        <f>Uscite!#REF!</f>
        <v>#REF!</v>
      </c>
      <c r="F14" s="53" t="e">
        <f>C14*(1-Uscite!#REF!-Uscite!#REF!)</f>
        <v>#REF!</v>
      </c>
      <c r="G14" s="90"/>
      <c r="H14" s="91" t="s">
        <v>103</v>
      </c>
      <c r="I14" s="59">
        <f>Arrivi!D22</f>
        <v>4.3242009132420085</v>
      </c>
      <c r="J14" s="73">
        <f t="shared" ref="J14:J15" si="9">1/(I$13+I$10+I$7+I$4)</f>
        <v>1.2498073926963312E-2</v>
      </c>
      <c r="K14" s="77" t="e">
        <f>F14*J14</f>
        <v>#REF!</v>
      </c>
      <c r="L14" s="77" t="e">
        <f t="shared" ref="L14:L15" si="10">SUM(K$13:K$15)</f>
        <v>#REF!</v>
      </c>
      <c r="M14" s="73" t="e">
        <f t="shared" si="4"/>
        <v>#REF!</v>
      </c>
      <c r="N14" s="73" t="e">
        <f t="shared" si="0"/>
        <v>#REF!</v>
      </c>
      <c r="O14" s="61"/>
      <c r="P14" s="61"/>
    </row>
    <row r="15" spans="1:16">
      <c r="A15" s="70"/>
      <c r="B15" s="71" t="s">
        <v>72</v>
      </c>
      <c r="C15" s="53">
        <f>Arrivi!D13</f>
        <v>1.0191780821917809</v>
      </c>
      <c r="D15" s="53">
        <f>Uscite!C14</f>
        <v>848.16666666666663</v>
      </c>
      <c r="E15" s="53" t="e">
        <f>Uscite!#REF!</f>
        <v>#REF!</v>
      </c>
      <c r="F15" s="53" t="e">
        <f>C15*(1-Uscite!#REF!-Uscite!#REF!)</f>
        <v>#REF!</v>
      </c>
      <c r="G15" s="90"/>
      <c r="H15" s="91" t="s">
        <v>104</v>
      </c>
      <c r="I15" s="59">
        <f>Arrivi!D23</f>
        <v>2.9876712328767123</v>
      </c>
      <c r="J15" s="73">
        <f t="shared" si="9"/>
        <v>1.2498073926963312E-2</v>
      </c>
      <c r="K15" s="77" t="e">
        <f t="shared" si="2"/>
        <v>#REF!</v>
      </c>
      <c r="L15" s="77" t="e">
        <f t="shared" si="10"/>
        <v>#REF!</v>
      </c>
      <c r="M15" s="73" t="e">
        <f>IF(MOD(ROW(),3)=1,(L15*J15)/(1-K15),IF(MOD(ROW(),3)=2,(L15*J15)/((1-K14)*(1-K14-K15)), IF(MOD(ROW(),3)=0,(L15*J15)/((1-K13-K14)*(1-L15)))))</f>
        <v>#REF!</v>
      </c>
      <c r="N15" s="73" t="e">
        <f t="shared" si="0"/>
        <v>#REF!</v>
      </c>
      <c r="O15" s="61"/>
      <c r="P15" s="61"/>
    </row>
  </sheetData>
  <mergeCells count="4">
    <mergeCell ref="A2:F2"/>
    <mergeCell ref="G2:I2"/>
    <mergeCell ref="K2:L2"/>
    <mergeCell ref="A1:P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opLeftCell="D1" zoomScale="95" zoomScaleNormal="95" workbookViewId="0">
      <selection activeCell="F22" sqref="F22"/>
    </sheetView>
  </sheetViews>
  <sheetFormatPr defaultColWidth="8.7109375" defaultRowHeight="15"/>
  <cols>
    <col min="1" max="1" width="30.5703125" customWidth="1"/>
    <col min="2" max="2" width="19.42578125" customWidth="1"/>
    <col min="3" max="3" width="20.42578125" customWidth="1"/>
    <col min="4" max="4" width="15.7109375" customWidth="1"/>
    <col min="5" max="5" width="13.85546875" customWidth="1"/>
    <col min="6" max="6" width="9.42578125" customWidth="1"/>
    <col min="7" max="7" width="4.140625" customWidth="1"/>
    <col min="8" max="8" width="14.140625" customWidth="1"/>
    <col min="9" max="9" width="13.42578125" customWidth="1"/>
    <col min="10" max="10" width="18.5703125" customWidth="1"/>
    <col min="11" max="11" width="24.5703125" customWidth="1"/>
    <col min="12" max="12" width="20.7109375" customWidth="1"/>
    <col min="13" max="13" width="17.7109375" customWidth="1"/>
    <col min="14" max="14" width="16" customWidth="1"/>
    <col min="15" max="15" width="16.7109375" customWidth="1"/>
    <col min="16" max="16" width="15.5703125" customWidth="1"/>
    <col min="17" max="17" width="14.85546875" customWidth="1"/>
    <col min="18" max="18" width="10.140625" customWidth="1"/>
    <col min="19" max="19" width="13" customWidth="1"/>
    <col min="20" max="21" width="14.42578125" customWidth="1"/>
    <col min="22" max="22" width="18.42578125" customWidth="1"/>
  </cols>
  <sheetData>
    <row r="1" spans="1:21" ht="15.75" thickBot="1">
      <c r="A1" s="104" t="s">
        <v>0</v>
      </c>
      <c r="B1" s="104"/>
      <c r="H1" s="105" t="s">
        <v>1</v>
      </c>
      <c r="I1" s="106"/>
      <c r="J1" s="106"/>
      <c r="K1" s="106"/>
      <c r="L1" s="106"/>
      <c r="M1" s="106"/>
      <c r="N1" s="106"/>
      <c r="O1" s="106"/>
      <c r="P1" s="106"/>
      <c r="Q1" s="106"/>
      <c r="R1" s="107"/>
      <c r="S1" s="9"/>
      <c r="T1" s="9"/>
      <c r="U1" s="9"/>
    </row>
    <row r="2" spans="1:21" ht="15.75" thickBot="1">
      <c r="A2" s="1" t="s">
        <v>61</v>
      </c>
      <c r="B2" s="2"/>
      <c r="C2">
        <f>ROUND(B2/(B4*60*60),6)</f>
        <v>0</v>
      </c>
      <c r="H2" s="7" t="s">
        <v>2</v>
      </c>
      <c r="I2" s="35" t="s">
        <v>3</v>
      </c>
      <c r="J2" s="36" t="s">
        <v>4</v>
      </c>
      <c r="K2" s="37" t="s">
        <v>5</v>
      </c>
      <c r="L2" s="7" t="s">
        <v>6</v>
      </c>
      <c r="M2" s="8" t="s">
        <v>7</v>
      </c>
      <c r="N2" s="7" t="s">
        <v>55</v>
      </c>
      <c r="O2" s="7" t="s">
        <v>8</v>
      </c>
      <c r="P2" s="7" t="s">
        <v>9</v>
      </c>
      <c r="Q2" s="7" t="s">
        <v>10</v>
      </c>
      <c r="R2" s="43" t="s">
        <v>52</v>
      </c>
      <c r="S2" s="43" t="s">
        <v>54</v>
      </c>
      <c r="T2" s="9"/>
      <c r="U2" s="9"/>
    </row>
    <row r="3" spans="1:21">
      <c r="A3" s="21" t="s">
        <v>62</v>
      </c>
      <c r="B3" s="49"/>
      <c r="H3" s="22">
        <v>9</v>
      </c>
      <c r="I3" s="11" t="str">
        <f>$A$8</f>
        <v>05:00 - 08:00</v>
      </c>
      <c r="J3" s="13">
        <f>ROUND(D8/E8,6)</f>
        <v>0</v>
      </c>
      <c r="K3" s="38">
        <f>D8</f>
        <v>0</v>
      </c>
      <c r="L3" s="11">
        <f>MIN(C14*H3*E8,K3)</f>
        <v>0</v>
      </c>
      <c r="M3" s="12">
        <f>MAX(0,K3-L3)</f>
        <v>0</v>
      </c>
      <c r="N3" s="11">
        <f>ROUND(L3/E8,6)</f>
        <v>0</v>
      </c>
      <c r="O3" s="13">
        <f>MIN(J3/(H3*$C$14),1)</f>
        <v>0</v>
      </c>
      <c r="P3" s="39" t="e">
        <f>#REF!</f>
        <v>#REF!</v>
      </c>
      <c r="Q3" s="13" t="e">
        <f>#REF!</f>
        <v>#REF!</v>
      </c>
      <c r="R3" s="13" t="e">
        <f>#REF!</f>
        <v>#REF!</v>
      </c>
      <c r="S3" s="13" t="e">
        <f>N3/F8</f>
        <v>#DIV/0!</v>
      </c>
      <c r="T3" s="9"/>
      <c r="U3" s="9"/>
    </row>
    <row r="4" spans="1:21" ht="15.75" thickBot="1">
      <c r="A4" s="3" t="s">
        <v>63</v>
      </c>
      <c r="B4" s="4">
        <v>19</v>
      </c>
      <c r="H4" s="24">
        <v>14</v>
      </c>
      <c r="I4" s="15" t="str">
        <f>$A$9</f>
        <v>08:00 - 19:00</v>
      </c>
      <c r="J4" s="15">
        <f>ROUND(D9/E9,6)</f>
        <v>0</v>
      </c>
      <c r="K4" s="40">
        <f>D9+M3</f>
        <v>0</v>
      </c>
      <c r="L4" s="15">
        <f>MIN(C14*H4*E9,K4)</f>
        <v>0</v>
      </c>
      <c r="M4" s="16">
        <f>MAX(0,K4-L4)</f>
        <v>0</v>
      </c>
      <c r="N4" s="15">
        <f>ROUND(L4/E9,6)</f>
        <v>0</v>
      </c>
      <c r="O4" s="15">
        <f>MIN(J4/(H4*$C$14),1)</f>
        <v>0</v>
      </c>
      <c r="P4" s="40" t="e">
        <f>#REF!</f>
        <v>#REF!</v>
      </c>
      <c r="Q4" s="15" t="e">
        <f>#REF!</f>
        <v>#REF!</v>
      </c>
      <c r="R4" s="15" t="e">
        <f>#REF!</f>
        <v>#REF!</v>
      </c>
      <c r="S4" s="15" t="e">
        <f>N4/F9</f>
        <v>#DIV/0!</v>
      </c>
      <c r="T4" s="9"/>
      <c r="U4" s="9"/>
    </row>
    <row r="5" spans="1:21" ht="15.75" thickBot="1">
      <c r="H5" s="26">
        <v>9</v>
      </c>
      <c r="I5" s="18" t="str">
        <f>$A$10</f>
        <v>19:00 - 00:00</v>
      </c>
      <c r="J5" s="18">
        <f>ROUND(D10/E10,6)</f>
        <v>0</v>
      </c>
      <c r="K5" s="41">
        <f>D10+M4</f>
        <v>0</v>
      </c>
      <c r="L5" s="18">
        <f>MIN(C14*H5*E10,K5)</f>
        <v>0</v>
      </c>
      <c r="M5" s="4">
        <f>MAX(0,K5-L5)</f>
        <v>0</v>
      </c>
      <c r="N5" s="18">
        <f>ROUND(L5/E10,6)</f>
        <v>0</v>
      </c>
      <c r="O5" s="18">
        <f>MIN(J5/(H5*$C$14),1)</f>
        <v>0</v>
      </c>
      <c r="P5" s="41" t="e">
        <f>#REF!</f>
        <v>#REF!</v>
      </c>
      <c r="Q5" s="18" t="e">
        <f>#REF!</f>
        <v>#REF!</v>
      </c>
      <c r="R5" s="42" t="e">
        <f>#REF!</f>
        <v>#REF!</v>
      </c>
      <c r="S5" s="18" t="e">
        <f>N5/F10</f>
        <v>#DIV/0!</v>
      </c>
      <c r="T5" s="9"/>
      <c r="U5" s="9"/>
    </row>
    <row r="6" spans="1:21" ht="15.75" thickBot="1">
      <c r="A6" s="104" t="s">
        <v>11</v>
      </c>
      <c r="B6" s="104"/>
      <c r="C6" s="104"/>
      <c r="D6" s="104"/>
      <c r="E6" s="104"/>
      <c r="F6" s="104"/>
      <c r="H6" s="9"/>
      <c r="I6" s="9"/>
      <c r="J6" s="9">
        <f>(3*J3+11*J4+5*J5)/19</f>
        <v>0</v>
      </c>
      <c r="K6" s="9">
        <f>SUM(K3:K5)-SUM(M3:M4)</f>
        <v>0</v>
      </c>
      <c r="L6" s="9"/>
      <c r="M6" s="9"/>
      <c r="N6" s="9">
        <f>(3*N3+11*N4+5*N5)/19</f>
        <v>0</v>
      </c>
      <c r="O6" s="9">
        <f>(3*O3+11*O4+5*O5)/19</f>
        <v>0</v>
      </c>
      <c r="P6" s="9" t="e">
        <f>(3*P3+11*P4+5*P5)/19</f>
        <v>#REF!</v>
      </c>
      <c r="Q6" s="9" t="e">
        <f>(3*Q3+11*Q4+5*Q5)/19</f>
        <v>#REF!</v>
      </c>
      <c r="R6" s="9" t="e">
        <f>(3*R3+11*R4+5*R5)/19</f>
        <v>#REF!</v>
      </c>
      <c r="S6" s="9"/>
      <c r="T6" s="9"/>
      <c r="U6" s="9"/>
    </row>
    <row r="7" spans="1:21" ht="15.75" thickBot="1">
      <c r="A7" s="5" t="s">
        <v>3</v>
      </c>
      <c r="B7" s="6" t="s">
        <v>12</v>
      </c>
      <c r="C7" s="7" t="s">
        <v>13</v>
      </c>
      <c r="D7" s="8" t="s">
        <v>14</v>
      </c>
      <c r="E7" s="7" t="s">
        <v>15</v>
      </c>
      <c r="F7" s="7" t="s">
        <v>16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15.75" thickBot="1">
      <c r="A8" s="10" t="s">
        <v>17</v>
      </c>
      <c r="B8" s="11">
        <v>3</v>
      </c>
      <c r="C8" s="11">
        <v>0.1</v>
      </c>
      <c r="D8" s="12">
        <f>C8*B2</f>
        <v>0</v>
      </c>
      <c r="E8" s="11">
        <f>(B8*60*60)</f>
        <v>10800</v>
      </c>
      <c r="F8" s="13">
        <f>ROUND(D8/E8,6)</f>
        <v>0</v>
      </c>
      <c r="H8" s="105" t="s">
        <v>19</v>
      </c>
      <c r="I8" s="106"/>
      <c r="J8" s="106"/>
      <c r="K8" s="106"/>
      <c r="L8" s="106"/>
      <c r="M8" s="106"/>
      <c r="N8" s="106"/>
      <c r="O8" s="106"/>
      <c r="P8" s="106"/>
      <c r="Q8" s="106"/>
      <c r="R8" s="107"/>
      <c r="S8" s="9"/>
      <c r="T8" s="9"/>
      <c r="U8" s="9"/>
    </row>
    <row r="9" spans="1:21" ht="15.75" thickBot="1">
      <c r="A9" s="14" t="s">
        <v>18</v>
      </c>
      <c r="B9" s="15">
        <v>11</v>
      </c>
      <c r="C9" s="15">
        <v>0.75</v>
      </c>
      <c r="D9" s="16">
        <f>C9*B2</f>
        <v>0</v>
      </c>
      <c r="E9" s="15">
        <f>(B9*60*60)</f>
        <v>39600</v>
      </c>
      <c r="F9" s="15">
        <f>ROUND(D9/E9,6)</f>
        <v>0</v>
      </c>
      <c r="H9" s="7" t="s">
        <v>2</v>
      </c>
      <c r="I9" s="7" t="s">
        <v>3</v>
      </c>
      <c r="J9" s="37" t="s">
        <v>4</v>
      </c>
      <c r="K9" s="37" t="s">
        <v>5</v>
      </c>
      <c r="L9" s="7" t="s">
        <v>6</v>
      </c>
      <c r="M9" s="8" t="s">
        <v>7</v>
      </c>
      <c r="N9" s="7" t="s">
        <v>55</v>
      </c>
      <c r="O9" s="7" t="s">
        <v>8</v>
      </c>
      <c r="P9" s="7" t="s">
        <v>9</v>
      </c>
      <c r="Q9" s="7" t="s">
        <v>10</v>
      </c>
      <c r="R9" s="43" t="s">
        <v>52</v>
      </c>
      <c r="S9" s="43" t="s">
        <v>54</v>
      </c>
      <c r="T9" s="9"/>
      <c r="U9" s="9"/>
    </row>
    <row r="10" spans="1:21" ht="15.75" thickBot="1">
      <c r="A10" s="17" t="s">
        <v>20</v>
      </c>
      <c r="B10" s="18">
        <v>5</v>
      </c>
      <c r="C10" s="18">
        <v>0.15</v>
      </c>
      <c r="D10" s="4">
        <f>C10*B2</f>
        <v>0</v>
      </c>
      <c r="E10" s="18">
        <f>(B10*60*60)</f>
        <v>18000</v>
      </c>
      <c r="F10" s="18">
        <f>ROUND(D10/E10,6)</f>
        <v>0</v>
      </c>
      <c r="H10" s="22">
        <v>22</v>
      </c>
      <c r="I10" s="11" t="str">
        <f>$A$8</f>
        <v>05:00 - 08:00</v>
      </c>
      <c r="J10" s="38">
        <f>ROUND(N3*$B$22,6)</f>
        <v>0</v>
      </c>
      <c r="K10" s="38">
        <f>L3*B22</f>
        <v>0</v>
      </c>
      <c r="L10" s="11">
        <f>MIN(C15*H10*E8,K10)</f>
        <v>0</v>
      </c>
      <c r="M10" s="12">
        <f>MAX(0,K10-L10)</f>
        <v>0</v>
      </c>
      <c r="N10" s="11">
        <f>ROUND(L10/E8,6)</f>
        <v>0</v>
      </c>
      <c r="O10" s="13">
        <f>MIN(J10/(H10*$C$15),1)</f>
        <v>0</v>
      </c>
      <c r="P10" s="39" t="e">
        <f>#REF!</f>
        <v>#REF!</v>
      </c>
      <c r="Q10" s="13" t="e">
        <f>#REF!</f>
        <v>#REF!</v>
      </c>
      <c r="R10" s="13" t="e">
        <f>#REF!</f>
        <v>#REF!</v>
      </c>
      <c r="S10" s="13" t="e">
        <f>J10 /F8</f>
        <v>#DIV/0!</v>
      </c>
      <c r="U10" s="9"/>
    </row>
    <row r="11" spans="1:21" ht="15.75" thickBot="1">
      <c r="H11" s="24">
        <v>42</v>
      </c>
      <c r="I11" s="15" t="str">
        <f>$A$9</f>
        <v>08:00 - 19:00</v>
      </c>
      <c r="J11" s="40">
        <f>ROUND(N4*$B$22,6)</f>
        <v>0</v>
      </c>
      <c r="K11" s="40">
        <f>L4*$B$22+M10</f>
        <v>0</v>
      </c>
      <c r="L11" s="15">
        <f>MIN(C15*H11*E9,K11)</f>
        <v>0</v>
      </c>
      <c r="M11" s="16">
        <f>MAX(0,K11-L11)</f>
        <v>0</v>
      </c>
      <c r="N11" s="15">
        <f>ROUND(L11/E9,6)</f>
        <v>0</v>
      </c>
      <c r="O11" s="15">
        <f>MIN(J11/(H11*$C$15),1)</f>
        <v>0</v>
      </c>
      <c r="P11" s="40" t="e">
        <f>#REF!</f>
        <v>#REF!</v>
      </c>
      <c r="Q11" s="15" t="e">
        <f>#REF!</f>
        <v>#REF!</v>
      </c>
      <c r="R11" s="15" t="e">
        <f>#REF!</f>
        <v>#REF!</v>
      </c>
      <c r="S11" s="15" t="e">
        <f>J11 /F9</f>
        <v>#DIV/0!</v>
      </c>
      <c r="U11" s="9"/>
    </row>
    <row r="12" spans="1:21" ht="15.75" thickBot="1">
      <c r="A12" s="104" t="s">
        <v>21</v>
      </c>
      <c r="B12" s="104"/>
      <c r="C12" s="104"/>
      <c r="D12" s="19"/>
      <c r="E12" s="19"/>
      <c r="H12" s="26">
        <v>20</v>
      </c>
      <c r="I12" s="18" t="str">
        <f>$A$10</f>
        <v>19:00 - 00:00</v>
      </c>
      <c r="J12" s="41">
        <f>ROUND(N5*$B$22,6)</f>
        <v>0</v>
      </c>
      <c r="K12" s="41">
        <f>L5*$B$22+M11</f>
        <v>0</v>
      </c>
      <c r="L12" s="18">
        <f>MIN(C15*H12*E10,K12)</f>
        <v>0</v>
      </c>
      <c r="M12" s="4">
        <f>MAX(0,K12-L12)</f>
        <v>0</v>
      </c>
      <c r="N12" s="18">
        <f>ROUND(L12/E10,6)</f>
        <v>0</v>
      </c>
      <c r="O12" s="18">
        <f>MIN(J12/(H12*$C$15),1)</f>
        <v>0</v>
      </c>
      <c r="P12" s="41" t="e">
        <f>#REF!</f>
        <v>#REF!</v>
      </c>
      <c r="Q12" s="18" t="e">
        <f>#REF!</f>
        <v>#REF!</v>
      </c>
      <c r="R12" s="18" t="e">
        <f>#REF!</f>
        <v>#REF!</v>
      </c>
      <c r="S12" s="18" t="e">
        <f>J12 /F10</f>
        <v>#DIV/0!</v>
      </c>
      <c r="U12" s="9"/>
    </row>
    <row r="13" spans="1:21" ht="15.75" thickBot="1">
      <c r="A13" s="20"/>
      <c r="B13" s="7" t="s">
        <v>22</v>
      </c>
      <c r="C13" s="7" t="s">
        <v>23</v>
      </c>
      <c r="H13" s="9"/>
      <c r="I13" s="9"/>
      <c r="J13" s="9">
        <f>(3*J10+11*J11+5*J12)/19</f>
        <v>0</v>
      </c>
      <c r="K13" s="9">
        <f>SUM(K10:K12)-SUM(M10:M11)</f>
        <v>0</v>
      </c>
      <c r="L13" s="9"/>
      <c r="M13" s="9"/>
      <c r="N13" s="9">
        <f>(3*N10+11*N11+5*N12)/19</f>
        <v>0</v>
      </c>
      <c r="O13" s="9">
        <f>(3*O10+11*O11+5*O12)/19</f>
        <v>0</v>
      </c>
      <c r="P13" s="9" t="e">
        <f>(3*P10+11*P11+5*P12)/19</f>
        <v>#REF!</v>
      </c>
      <c r="Q13" s="9" t="e">
        <f>(3*Q10+11*Q11+5*Q12)/19</f>
        <v>#REF!</v>
      </c>
      <c r="R13" s="9" t="e">
        <f>(3*R10+11*R11+5*R12)/19</f>
        <v>#REF!</v>
      </c>
      <c r="S13" s="9"/>
      <c r="T13" s="9"/>
      <c r="U13" s="9"/>
    </row>
    <row r="14" spans="1:21" ht="15.75" thickBot="1">
      <c r="A14" s="21" t="s">
        <v>24</v>
      </c>
      <c r="B14" s="22">
        <v>15</v>
      </c>
      <c r="C14" s="11">
        <f>ROUND(1/B14,6)</f>
        <v>6.6667000000000004E-2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15.75" thickBot="1">
      <c r="A15" s="23" t="s">
        <v>25</v>
      </c>
      <c r="B15" s="24">
        <v>90</v>
      </c>
      <c r="C15" s="15">
        <f>ROUND(1/B15,6)</f>
        <v>1.1110999999999999E-2</v>
      </c>
      <c r="H15" s="105" t="s">
        <v>27</v>
      </c>
      <c r="I15" s="106"/>
      <c r="J15" s="106"/>
      <c r="K15" s="106"/>
      <c r="L15" s="106"/>
      <c r="M15" s="106"/>
      <c r="N15" s="106"/>
      <c r="O15" s="106"/>
      <c r="P15" s="106"/>
      <c r="Q15" s="106"/>
      <c r="R15" s="107"/>
      <c r="S15" s="9"/>
      <c r="T15" s="9"/>
      <c r="U15" s="9"/>
    </row>
    <row r="16" spans="1:21" ht="15.75" thickBot="1">
      <c r="A16" s="23" t="s">
        <v>26</v>
      </c>
      <c r="B16" s="24">
        <v>10</v>
      </c>
      <c r="C16" s="15">
        <f>ROUND(1/B16,6)</f>
        <v>0.1</v>
      </c>
      <c r="H16" s="7" t="s">
        <v>2</v>
      </c>
      <c r="I16" s="7" t="s">
        <v>3</v>
      </c>
      <c r="J16" s="37" t="s">
        <v>4</v>
      </c>
      <c r="K16" s="37" t="s">
        <v>5</v>
      </c>
      <c r="L16" s="7" t="s">
        <v>6</v>
      </c>
      <c r="M16" s="8" t="s">
        <v>7</v>
      </c>
      <c r="N16" s="7" t="s">
        <v>55</v>
      </c>
      <c r="O16" s="7" t="s">
        <v>8</v>
      </c>
      <c r="P16" s="7" t="s">
        <v>9</v>
      </c>
      <c r="Q16" s="7" t="s">
        <v>10</v>
      </c>
      <c r="R16" s="43" t="s">
        <v>52</v>
      </c>
      <c r="S16" s="43" t="s">
        <v>54</v>
      </c>
      <c r="T16" s="9"/>
      <c r="U16" s="9"/>
    </row>
    <row r="17" spans="1:22">
      <c r="A17" s="23" t="s">
        <v>28</v>
      </c>
      <c r="B17" s="24">
        <v>25</v>
      </c>
      <c r="C17" s="15">
        <f>ROUND(1/B17,6)</f>
        <v>0.04</v>
      </c>
      <c r="H17" s="22">
        <v>3</v>
      </c>
      <c r="I17" s="11" t="str">
        <f>$A$8</f>
        <v>05:00 - 08:00</v>
      </c>
      <c r="J17" s="38">
        <f>ROUND(N3*$B$24,6)</f>
        <v>0</v>
      </c>
      <c r="K17" s="38">
        <f>L3*$B$24</f>
        <v>0</v>
      </c>
      <c r="L17" s="11">
        <f>MIN($C$16*H17*E8,K17)</f>
        <v>0</v>
      </c>
      <c r="M17" s="12">
        <f>MAX(0,K17-L17)</f>
        <v>0</v>
      </c>
      <c r="N17" s="11">
        <f>ROUND(L17/E8,6)</f>
        <v>0</v>
      </c>
      <c r="O17" s="13">
        <f>MIN(J17/(H17*$C$16),1)</f>
        <v>0</v>
      </c>
      <c r="P17" s="39" t="e">
        <f>#REF!</f>
        <v>#REF!</v>
      </c>
      <c r="Q17" s="13" t="e">
        <f>#REF!</f>
        <v>#REF!</v>
      </c>
      <c r="R17" s="13" t="e">
        <f>#REF!</f>
        <v>#REF!</v>
      </c>
      <c r="S17" s="13" t="e">
        <f>J17 /F8</f>
        <v>#DIV/0!</v>
      </c>
      <c r="U17" s="9"/>
    </row>
    <row r="18" spans="1:22" ht="15.75" thickBot="1">
      <c r="A18" s="25" t="s">
        <v>29</v>
      </c>
      <c r="B18" s="26">
        <v>30</v>
      </c>
      <c r="C18" s="18">
        <f>ROUND(1/B18,6)</f>
        <v>3.3333000000000002E-2</v>
      </c>
      <c r="H18" s="24">
        <v>4</v>
      </c>
      <c r="I18" s="15" t="str">
        <f>$A$9</f>
        <v>08:00 - 19:00</v>
      </c>
      <c r="J18" s="40">
        <f>ROUND(N4*$B$24,6)</f>
        <v>0</v>
      </c>
      <c r="K18" s="40">
        <f>L4*$B$24+M17</f>
        <v>0</v>
      </c>
      <c r="L18" s="15">
        <f>MIN($C$16*H18*E9,K18)</f>
        <v>0</v>
      </c>
      <c r="M18" s="16">
        <f>MAX(0,K18-L18)</f>
        <v>0</v>
      </c>
      <c r="N18" s="15">
        <f>ROUND(L18/E9,6)</f>
        <v>0</v>
      </c>
      <c r="O18" s="15">
        <f>MIN(J18/(H18*$C$16),1)</f>
        <v>0</v>
      </c>
      <c r="P18" s="40" t="e">
        <f>#REF!</f>
        <v>#REF!</v>
      </c>
      <c r="Q18" s="15" t="e">
        <f>#REF!</f>
        <v>#REF!</v>
      </c>
      <c r="R18" s="15" t="e">
        <f>#REF!</f>
        <v>#REF!</v>
      </c>
      <c r="S18" s="15" t="e">
        <f>J18 /F9</f>
        <v>#DIV/0!</v>
      </c>
      <c r="U18" s="9"/>
    </row>
    <row r="19" spans="1:22" ht="15.75" thickBot="1">
      <c r="H19" s="26">
        <v>3</v>
      </c>
      <c r="I19" s="18" t="str">
        <f>$A$10</f>
        <v>19:00 - 00:00</v>
      </c>
      <c r="J19" s="41">
        <f>ROUND(N5*$B$24,6)</f>
        <v>0</v>
      </c>
      <c r="K19" s="41">
        <f>L5*$B$24+M18</f>
        <v>0</v>
      </c>
      <c r="L19" s="18">
        <f>MIN($C$16*H19*E10,K19)</f>
        <v>0</v>
      </c>
      <c r="M19" s="4">
        <f>MAX(0,K19-L19)</f>
        <v>0</v>
      </c>
      <c r="N19" s="18">
        <f>ROUND(L19/E10,6)</f>
        <v>0</v>
      </c>
      <c r="O19" s="18">
        <f>MIN(J19/(H19*$C$16),1)</f>
        <v>0</v>
      </c>
      <c r="P19" s="41" t="e">
        <f>#REF!</f>
        <v>#REF!</v>
      </c>
      <c r="Q19" s="18" t="e">
        <f>#REF!</f>
        <v>#REF!</v>
      </c>
      <c r="R19" s="18" t="e">
        <f>#REF!</f>
        <v>#REF!</v>
      </c>
      <c r="S19" s="18" t="e">
        <f>J19 /F10</f>
        <v>#DIV/0!</v>
      </c>
      <c r="U19" s="9"/>
    </row>
    <row r="20" spans="1:22" ht="15.75" thickBot="1">
      <c r="A20" s="104" t="s">
        <v>30</v>
      </c>
      <c r="B20" s="104"/>
      <c r="H20" s="9"/>
      <c r="I20" s="9"/>
      <c r="J20" s="9">
        <f>(3*J17+11*J18+5*J19)/19</f>
        <v>0</v>
      </c>
      <c r="K20" s="9">
        <f>SUM(K17:K19)-SUM(M17:M18)</f>
        <v>0</v>
      </c>
      <c r="L20" s="9"/>
      <c r="M20" s="9"/>
      <c r="N20" s="9">
        <f>(3*N17+11*N18+5*N19)/19</f>
        <v>0</v>
      </c>
      <c r="O20" s="9">
        <f>(3*O17+11*O18+5*O19)/19</f>
        <v>0</v>
      </c>
      <c r="P20" s="9" t="e">
        <f>(3*P17+11*P18+5*P19)/19</f>
        <v>#REF!</v>
      </c>
      <c r="Q20" s="9" t="e">
        <f>(3*Q17+11*Q18+5*Q19)/19</f>
        <v>#REF!</v>
      </c>
      <c r="R20" s="9" t="e">
        <f>(3*R17+11*R18+5*R19)/19</f>
        <v>#REF!</v>
      </c>
      <c r="S20" s="9"/>
      <c r="T20" s="9"/>
      <c r="U20" s="9"/>
    </row>
    <row r="21" spans="1:22" ht="15.75" thickBot="1">
      <c r="A21" s="21" t="s">
        <v>31</v>
      </c>
      <c r="B21" s="22">
        <v>2E-3</v>
      </c>
      <c r="C21" s="9" t="s">
        <v>57</v>
      </c>
      <c r="D21" s="27">
        <f>1-B21</f>
        <v>0.998</v>
      </c>
      <c r="E21" s="27">
        <f>B21</f>
        <v>2E-3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2" ht="15.75" thickBot="1">
      <c r="A22" s="23" t="s">
        <v>32</v>
      </c>
      <c r="B22" s="24">
        <f>ROUND(D21*E22*E23,6)</f>
        <v>0.48198400000000002</v>
      </c>
      <c r="C22" s="9" t="s">
        <v>58</v>
      </c>
      <c r="D22" s="27">
        <v>0.25700000000000001</v>
      </c>
      <c r="E22" s="27">
        <f>1-D22</f>
        <v>0.74299999999999999</v>
      </c>
      <c r="H22" s="105" t="s">
        <v>34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7"/>
      <c r="S22" s="9"/>
      <c r="T22" s="9"/>
      <c r="U22" s="9"/>
    </row>
    <row r="23" spans="1:22" ht="15.75" thickBot="1">
      <c r="A23" s="21" t="s">
        <v>33</v>
      </c>
      <c r="B23" s="24">
        <f>ROUND(D21*E22*D23,6)</f>
        <v>0.25952999999999998</v>
      </c>
      <c r="C23" s="9" t="s">
        <v>59</v>
      </c>
      <c r="D23" s="27">
        <v>0.35</v>
      </c>
      <c r="E23" s="27">
        <f>1-D23</f>
        <v>0.65</v>
      </c>
      <c r="H23" s="7" t="s">
        <v>2</v>
      </c>
      <c r="I23" s="7" t="s">
        <v>3</v>
      </c>
      <c r="J23" s="37" t="s">
        <v>4</v>
      </c>
      <c r="K23" s="37" t="s">
        <v>5</v>
      </c>
      <c r="L23" s="7" t="s">
        <v>6</v>
      </c>
      <c r="M23" s="8" t="s">
        <v>7</v>
      </c>
      <c r="N23" s="7" t="s">
        <v>55</v>
      </c>
      <c r="O23" s="7" t="s">
        <v>8</v>
      </c>
      <c r="P23" s="7" t="s">
        <v>9</v>
      </c>
      <c r="Q23" s="7" t="s">
        <v>10</v>
      </c>
      <c r="R23" s="43" t="s">
        <v>52</v>
      </c>
      <c r="S23" s="43" t="s">
        <v>54</v>
      </c>
      <c r="T23" s="9"/>
      <c r="U23" s="9"/>
    </row>
    <row r="24" spans="1:22">
      <c r="A24" s="23" t="s">
        <v>35</v>
      </c>
      <c r="B24" s="24">
        <f>ROUND(D21*D22,6)</f>
        <v>0.25648599999999999</v>
      </c>
      <c r="H24" s="22">
        <v>11</v>
      </c>
      <c r="I24" s="11" t="str">
        <f>$A$8</f>
        <v>05:00 - 08:00</v>
      </c>
      <c r="J24" s="38">
        <f>ROUND(N3*$B$23+N10,6)</f>
        <v>0</v>
      </c>
      <c r="K24" s="38">
        <f>L10+L3*$B$23</f>
        <v>0</v>
      </c>
      <c r="L24" s="11">
        <f>MIN($C$17*H24*E8,K24)</f>
        <v>0</v>
      </c>
      <c r="M24" s="12">
        <f>MAX(0,K24-L24)</f>
        <v>0</v>
      </c>
      <c r="N24" s="11">
        <f>ROUND(L24/E8,6)</f>
        <v>0</v>
      </c>
      <c r="O24" s="13">
        <f>MIN(J24/(H24*$C$17),1)</f>
        <v>0</v>
      </c>
      <c r="P24" s="39" t="e">
        <f>#REF!</f>
        <v>#REF!</v>
      </c>
      <c r="Q24" s="13" t="e">
        <f>#REF!</f>
        <v>#REF!</v>
      </c>
      <c r="R24" s="13" t="e">
        <f>#REF!</f>
        <v>#REF!</v>
      </c>
      <c r="S24" s="13" t="e">
        <f>J24 /F8</f>
        <v>#DIV/0!</v>
      </c>
      <c r="U24" s="9"/>
    </row>
    <row r="25" spans="1:22" ht="15.75" thickBot="1">
      <c r="A25" s="25" t="s">
        <v>36</v>
      </c>
      <c r="B25" s="26">
        <v>5.0000000000000001E-4</v>
      </c>
      <c r="C25" s="9">
        <f>SUM(B21:B24)</f>
        <v>1</v>
      </c>
      <c r="H25" s="24">
        <v>20</v>
      </c>
      <c r="I25" s="15" t="str">
        <f>$A$9</f>
        <v>08:00 - 19:00</v>
      </c>
      <c r="J25" s="40">
        <f>ROUND(N11+N4*$B$23,6)</f>
        <v>0</v>
      </c>
      <c r="K25" s="40">
        <f>L11+L4*$B$23+M24</f>
        <v>0</v>
      </c>
      <c r="L25" s="15">
        <f>MIN($C$17*H25*E9,K25)</f>
        <v>0</v>
      </c>
      <c r="M25" s="16">
        <f>MAX(0,K25-L25)</f>
        <v>0</v>
      </c>
      <c r="N25" s="15">
        <f>ROUND(L25/E9,6)</f>
        <v>0</v>
      </c>
      <c r="O25" s="15">
        <f>MIN(J25/(H25*$C$17),1)</f>
        <v>0</v>
      </c>
      <c r="P25" s="40" t="e">
        <f>#REF!</f>
        <v>#REF!</v>
      </c>
      <c r="Q25" s="15" t="e">
        <f>#REF!</f>
        <v>#REF!</v>
      </c>
      <c r="R25" s="15" t="e">
        <f>#REF!</f>
        <v>#REF!</v>
      </c>
      <c r="S25" s="15" t="e">
        <f>J25 /F9</f>
        <v>#DIV/0!</v>
      </c>
      <c r="U25" s="9"/>
    </row>
    <row r="26" spans="1:22" ht="15.75" thickBot="1">
      <c r="H26" s="26">
        <v>12</v>
      </c>
      <c r="I26" s="18" t="str">
        <f>$A$10</f>
        <v>19:00 - 00:00</v>
      </c>
      <c r="J26" s="41">
        <f>ROUND(N12+N5*$B$23,6)</f>
        <v>0</v>
      </c>
      <c r="K26" s="41">
        <f>L12+L5*$B$23+M25</f>
        <v>0</v>
      </c>
      <c r="L26" s="18">
        <f>MIN($C$17*H26*E10,K26)</f>
        <v>0</v>
      </c>
      <c r="M26" s="4">
        <f>MAX(0,K26-L26)</f>
        <v>0</v>
      </c>
      <c r="N26" s="18">
        <f>ROUND(L26/E10,6)</f>
        <v>0</v>
      </c>
      <c r="O26" s="18">
        <f>MIN(J26/(H26*$C$17),1)</f>
        <v>0</v>
      </c>
      <c r="P26" s="41" t="e">
        <f>#REF!</f>
        <v>#REF!</v>
      </c>
      <c r="Q26" s="18" t="e">
        <f>#REF!</f>
        <v>#REF!</v>
      </c>
      <c r="R26" s="18" t="e">
        <f>#REF!</f>
        <v>#REF!</v>
      </c>
      <c r="S26" s="18" t="e">
        <f>J26 /F10</f>
        <v>#DIV/0!</v>
      </c>
      <c r="U26" s="9"/>
    </row>
    <row r="27" spans="1:22" ht="15.75" thickBot="1">
      <c r="A27" s="104" t="s">
        <v>37</v>
      </c>
      <c r="B27" s="104"/>
      <c r="C27" s="104"/>
      <c r="D27" s="104"/>
      <c r="H27" s="9"/>
      <c r="I27" s="9"/>
      <c r="J27" s="9">
        <f>(3*J24+11*J25+5*J26)/19</f>
        <v>0</v>
      </c>
      <c r="K27" s="9">
        <f>SUM(K24:K26)-SUM(M24:M25)</f>
        <v>0</v>
      </c>
      <c r="L27" s="9"/>
      <c r="M27" s="9"/>
      <c r="N27" s="9">
        <f>(3*N24+11*N25+5*N26)/19</f>
        <v>0</v>
      </c>
      <c r="O27" s="9">
        <f>(3*O24+11*O25+5*O26)/19</f>
        <v>0</v>
      </c>
      <c r="P27" s="9" t="e">
        <f>(3*P24+11*P25+5*P26)/19</f>
        <v>#REF!</v>
      </c>
      <c r="Q27" s="9" t="e">
        <f>(3*Q24+11*Q25+5*Q26)/19</f>
        <v>#REF!</v>
      </c>
      <c r="R27" s="9" t="e">
        <f>(3*R24+11*R25+5*R26)/19</f>
        <v>#REF!</v>
      </c>
      <c r="S27" s="9"/>
      <c r="T27" s="9"/>
      <c r="U27" s="9"/>
    </row>
    <row r="28" spans="1:22" ht="15.75" thickBot="1">
      <c r="A28" s="17" t="s">
        <v>38</v>
      </c>
      <c r="B28" s="3" t="s">
        <v>39</v>
      </c>
      <c r="C28" s="28" t="s">
        <v>40</v>
      </c>
      <c r="D28" s="29" t="s">
        <v>41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2" ht="15.75" thickBot="1">
      <c r="A29" s="30" t="s">
        <v>42</v>
      </c>
      <c r="B29" s="22">
        <v>300</v>
      </c>
      <c r="C29" s="13">
        <f>B29/(60*60*19*30)</f>
        <v>1.4619883040935673E-4</v>
      </c>
      <c r="D29" s="12">
        <f>B29*($B$8*H3+$B$9*H4+$B$10*H5)/30</f>
        <v>2260</v>
      </c>
      <c r="H29" s="104" t="s">
        <v>29</v>
      </c>
      <c r="I29" s="104"/>
      <c r="J29" s="104"/>
      <c r="K29" s="104"/>
      <c r="L29" s="104"/>
      <c r="M29" s="104"/>
      <c r="N29" s="104"/>
      <c r="O29" s="104"/>
      <c r="P29" s="104"/>
      <c r="Q29" s="104"/>
      <c r="R29" s="9"/>
      <c r="S29" s="9"/>
      <c r="T29" s="9"/>
      <c r="U29" s="9"/>
    </row>
    <row r="30" spans="1:22" ht="15.75" thickBot="1">
      <c r="A30" s="31" t="s">
        <v>43</v>
      </c>
      <c r="B30" s="24">
        <v>200</v>
      </c>
      <c r="C30" s="15">
        <f>B30/(60*60*19*30)</f>
        <v>9.7465886939571147E-5</v>
      </c>
      <c r="D30" s="16">
        <f>B30*($B$8*H10+$B$9*H11+$B$10*H12)/30</f>
        <v>4186.666666666667</v>
      </c>
      <c r="H30" s="7" t="s">
        <v>2</v>
      </c>
      <c r="I30" s="7" t="s">
        <v>3</v>
      </c>
      <c r="J30" s="37" t="s">
        <v>4</v>
      </c>
      <c r="K30" s="37" t="s">
        <v>5</v>
      </c>
      <c r="L30" s="7" t="s">
        <v>6</v>
      </c>
      <c r="M30" s="8" t="s">
        <v>45</v>
      </c>
      <c r="N30" s="7" t="s">
        <v>55</v>
      </c>
      <c r="O30" s="7" t="s">
        <v>8</v>
      </c>
      <c r="P30" s="7" t="s">
        <v>9</v>
      </c>
      <c r="Q30" s="7" t="s">
        <v>10</v>
      </c>
      <c r="R30" s="7" t="s">
        <v>46</v>
      </c>
      <c r="S30" s="7" t="s">
        <v>47</v>
      </c>
      <c r="T30" s="7" t="s">
        <v>48</v>
      </c>
      <c r="U30" s="9" t="s">
        <v>53</v>
      </c>
    </row>
    <row r="31" spans="1:22">
      <c r="A31" s="30" t="s">
        <v>44</v>
      </c>
      <c r="B31" s="22">
        <v>50</v>
      </c>
      <c r="C31" s="11">
        <f>B31/(60*60*19*30)</f>
        <v>2.4366471734892787E-5</v>
      </c>
      <c r="D31" s="12">
        <f>B31*($B$8*H17+$B$9*H18+$B$10*H19)/30</f>
        <v>113.33333333333333</v>
      </c>
      <c r="H31" s="22">
        <v>10</v>
      </c>
      <c r="I31" s="11" t="str">
        <f>$A$8</f>
        <v>05:00 - 08:00</v>
      </c>
      <c r="J31" s="38">
        <f>ROUND(K31/E8,6)</f>
        <v>0</v>
      </c>
      <c r="K31" s="38">
        <f>L24+L17</f>
        <v>0</v>
      </c>
      <c r="L31" s="11" t="e">
        <f>MIN(S31*E8,K31)</f>
        <v>#REF!</v>
      </c>
      <c r="M31" s="12" t="e">
        <f>MAX(0,K31-L31)</f>
        <v>#REF!</v>
      </c>
      <c r="N31" s="11" t="e">
        <f>ROUND(L31/E8,6)</f>
        <v>#REF!</v>
      </c>
      <c r="O31" s="13" t="e">
        <f>MIN(S31/(H31*$C$18),1)</f>
        <v>#REF!</v>
      </c>
      <c r="P31" s="39" t="e">
        <f>#REF!</f>
        <v>#REF!</v>
      </c>
      <c r="Q31" s="13" t="e">
        <f>#REF!</f>
        <v>#REF!</v>
      </c>
      <c r="R31" s="11" t="e">
        <f>#REF!</f>
        <v>#REF!</v>
      </c>
      <c r="S31" s="11" t="e">
        <f>J31*(1-R31)</f>
        <v>#REF!</v>
      </c>
      <c r="T31" s="11">
        <f>$C$18*H31*E8</f>
        <v>3599.9639999999999</v>
      </c>
      <c r="U31" t="e">
        <f>(L31*Q31+M31*0)/K31</f>
        <v>#REF!</v>
      </c>
      <c r="V31" t="e">
        <f>J31/F8</f>
        <v>#DIV/0!</v>
      </c>
    </row>
    <row r="32" spans="1:22">
      <c r="A32" s="31" t="s">
        <v>49</v>
      </c>
      <c r="B32" s="24">
        <v>1300</v>
      </c>
      <c r="C32" s="15">
        <f>B32/(60*60*19*30)</f>
        <v>6.3352826510721251E-4</v>
      </c>
      <c r="D32" s="16">
        <f>B32*($B$8*H24+$B$9*H25+$B$10*H26)/30</f>
        <v>13563.333333333334</v>
      </c>
      <c r="H32" s="24">
        <v>20</v>
      </c>
      <c r="I32" s="15" t="str">
        <f>$A$9</f>
        <v>08:00 - 19:00</v>
      </c>
      <c r="J32" s="40">
        <f>ROUND(K32/E9,6)</f>
        <v>0</v>
      </c>
      <c r="K32" s="40">
        <f>L25+L18</f>
        <v>0</v>
      </c>
      <c r="L32" s="15" t="e">
        <f>MIN(S32*E9,K32)</f>
        <v>#REF!</v>
      </c>
      <c r="M32" s="16" t="e">
        <f>MAX(0,K32-L32)</f>
        <v>#REF!</v>
      </c>
      <c r="N32" s="15" t="e">
        <f>ROUND(L32/E9,6)</f>
        <v>#REF!</v>
      </c>
      <c r="O32" s="15" t="e">
        <f>MIN(S32/(H32*$C$18),1)</f>
        <v>#REF!</v>
      </c>
      <c r="P32" s="40" t="e">
        <f>#REF!</f>
        <v>#REF!</v>
      </c>
      <c r="Q32" s="15" t="e">
        <f>#REF!</f>
        <v>#REF!</v>
      </c>
      <c r="R32" s="15" t="e">
        <f>#REF!</f>
        <v>#REF!</v>
      </c>
      <c r="S32" s="15" t="e">
        <f>J32*(1-R32)</f>
        <v>#REF!</v>
      </c>
      <c r="T32" s="15">
        <f>$C$18*H32*E9</f>
        <v>26399.736000000001</v>
      </c>
      <c r="U32" t="e">
        <f t="shared" ref="U32:U33" si="0">(L32*Q32+M32*0)/K32</f>
        <v>#REF!</v>
      </c>
      <c r="V32" t="e">
        <f>J32/F9</f>
        <v>#DIV/0!</v>
      </c>
    </row>
    <row r="33" spans="1:22" ht="15.75" thickBot="1">
      <c r="A33" s="32" t="s">
        <v>50</v>
      </c>
      <c r="B33" s="26">
        <v>800</v>
      </c>
      <c r="C33" s="18">
        <f>B33/(60*60*19*30)</f>
        <v>3.8986354775828459E-4</v>
      </c>
      <c r="D33" s="4">
        <f>B33*($B$8*H31+$B$9*H32+$B$10*H33)/30</f>
        <v>8000</v>
      </c>
      <c r="H33" s="26">
        <v>10</v>
      </c>
      <c r="I33" s="18" t="str">
        <f>$A$10</f>
        <v>19:00 - 00:00</v>
      </c>
      <c r="J33" s="41">
        <f>ROUND(K33/E10,6)</f>
        <v>0</v>
      </c>
      <c r="K33" s="41">
        <f>L26+L19</f>
        <v>0</v>
      </c>
      <c r="L33" s="18" t="e">
        <f>MIN(S33*E10,K33)</f>
        <v>#REF!</v>
      </c>
      <c r="M33" s="4" t="e">
        <f>MAX(0,K33-L33)</f>
        <v>#REF!</v>
      </c>
      <c r="N33" s="18" t="e">
        <f>ROUND(L33/E10,6)</f>
        <v>#REF!</v>
      </c>
      <c r="O33" s="18" t="e">
        <f>MIN(S33/(H33*$C$18),1)</f>
        <v>#REF!</v>
      </c>
      <c r="P33" s="41" t="e">
        <f>#REF!</f>
        <v>#REF!</v>
      </c>
      <c r="Q33" s="18" t="e">
        <f>#REF!</f>
        <v>#REF!</v>
      </c>
      <c r="R33" s="18" t="e">
        <f>#REF!</f>
        <v>#REF!</v>
      </c>
      <c r="S33" s="18" t="e">
        <f>J33*(1-R33)</f>
        <v>#REF!</v>
      </c>
      <c r="T33" s="18">
        <f>$C$18*H33*E10</f>
        <v>5999.9400000000005</v>
      </c>
      <c r="U33" t="e">
        <f t="shared" si="0"/>
        <v>#REF!</v>
      </c>
      <c r="V33" t="e">
        <f>J33/F10</f>
        <v>#DIV/0!</v>
      </c>
    </row>
    <row r="34" spans="1:22" ht="15.75" thickBot="1">
      <c r="B34" s="33"/>
      <c r="J34" s="9">
        <f>(3*J31+11*J32+5*J33)/19</f>
        <v>0</v>
      </c>
      <c r="K34" s="9">
        <f>SUM(K31:K33)</f>
        <v>0</v>
      </c>
      <c r="M34" t="e">
        <f>SUM(M31:M33)</f>
        <v>#REF!</v>
      </c>
      <c r="N34" s="9" t="e">
        <f>(3*N31+11*N32+5*N33)/19</f>
        <v>#REF!</v>
      </c>
      <c r="O34" s="9" t="e">
        <f>(3*O31+11*O32+5*O33)/19</f>
        <v>#REF!</v>
      </c>
      <c r="P34" s="9" t="e">
        <f>(3*P31+11*P32+5*P33)/19</f>
        <v>#REF!</v>
      </c>
      <c r="Q34" s="9" t="e">
        <f>(3*Q31+11*Q32+5*Q33)/19</f>
        <v>#REF!</v>
      </c>
      <c r="R34" s="9" t="e">
        <f>(3*R31+11*R32+5*R33)/19</f>
        <v>#REF!</v>
      </c>
    </row>
    <row r="35" spans="1:22" ht="15.75" thickBot="1">
      <c r="A35" s="46"/>
      <c r="B35" s="48" t="s">
        <v>60</v>
      </c>
      <c r="C35" s="27" t="s">
        <v>56</v>
      </c>
      <c r="L35" s="33"/>
      <c r="M35" s="33"/>
      <c r="N35" s="33"/>
    </row>
    <row r="36" spans="1:22">
      <c r="A36" s="44" t="str">
        <f>A8</f>
        <v>05:00 - 08:00</v>
      </c>
      <c r="B36" s="38">
        <f>(C29*H3 + C30*H10 + C31*H17 + C32*H24+C33*H31)*E8</f>
        <v>155.5263157894737</v>
      </c>
      <c r="C36" s="11" t="e">
        <f>Q3+Q10*S10+Q17*S17+Q24*S24+U31*V31</f>
        <v>#REF!</v>
      </c>
      <c r="S36" t="e">
        <f>30*(1-R31) + 0*R31</f>
        <v>#REF!</v>
      </c>
    </row>
    <row r="37" spans="1:22">
      <c r="A37" s="47" t="str">
        <f>A9</f>
        <v>08:00 - 19:00</v>
      </c>
      <c r="B37" s="40">
        <f>(C29*H4 + C30*H11 + C31*H18 + C32*H25+C33*H32)*E9</f>
        <v>1057.5438596491229</v>
      </c>
      <c r="C37" s="15" t="e">
        <f>Q4+Q11*S11+Q18*S18+Q25*S25+U32*V32</f>
        <v>#REF!</v>
      </c>
      <c r="N37" s="34"/>
    </row>
    <row r="38" spans="1:22" ht="15.75" thickBot="1">
      <c r="A38" s="45" t="str">
        <f>A10</f>
        <v>19:00 - 00:00</v>
      </c>
      <c r="B38" s="41">
        <f>(C30*H5 + C31*H12 + C32*H19 + C33*H26+C34*H33)*E10</f>
        <v>142.98245614035088</v>
      </c>
      <c r="C38" s="18" t="e">
        <f>Q5+Q12*S12+Q19*S19+Q26*S26+U33*V33</f>
        <v>#REF!</v>
      </c>
    </row>
  </sheetData>
  <mergeCells count="10">
    <mergeCell ref="A1:B1"/>
    <mergeCell ref="A6:F6"/>
    <mergeCell ref="A12:C12"/>
    <mergeCell ref="H8:R8"/>
    <mergeCell ref="H1:R1"/>
    <mergeCell ref="A20:B20"/>
    <mergeCell ref="A27:D27"/>
    <mergeCell ref="H29:Q29"/>
    <mergeCell ref="H15:R15"/>
    <mergeCell ref="H22:R22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A3FF-B172-4692-B7E7-55B3AF8B14E7}">
  <dimension ref="A6:C6"/>
  <sheetViews>
    <sheetView workbookViewId="0">
      <selection activeCell="E1" sqref="E1"/>
    </sheetView>
  </sheetViews>
  <sheetFormatPr defaultRowHeight="15"/>
  <cols>
    <col min="2" max="2" width="18.140625" customWidth="1"/>
    <col min="5" max="5" width="12.7109375" customWidth="1"/>
  </cols>
  <sheetData>
    <row r="6" spans="1:3">
      <c r="A6" s="108" t="s">
        <v>107</v>
      </c>
      <c r="B6" s="108"/>
      <c r="C6" s="108"/>
    </row>
  </sheetData>
  <mergeCells count="1">
    <mergeCell ref="A6:C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Dati_OPTN</vt:lpstr>
      <vt:lpstr>Arrivi</vt:lpstr>
      <vt:lpstr>Uscite</vt:lpstr>
      <vt:lpstr>Centri - Identical</vt:lpstr>
      <vt:lpstr>Centri - Compatible</vt:lpstr>
      <vt:lpstr>Dati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4</cp:revision>
  <dcterms:created xsi:type="dcterms:W3CDTF">2015-06-05T18:19:34Z</dcterms:created>
  <dcterms:modified xsi:type="dcterms:W3CDTF">2023-07-21T11:14:39Z</dcterms:modified>
  <dc:language>it-IT</dc:language>
</cp:coreProperties>
</file>