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roma2-my.sharepoint.com/personal/livia_simoncini_alumni_uniroma2_eu/Documents/Corsi/Attivi/PMCSN/Progetto/PMCSN_Project/data/"/>
    </mc:Choice>
  </mc:AlternateContent>
  <xr:revisionPtr revIDLastSave="264" documentId="11_DCE34EB6A78299234FA84E3E7E0D87DBE56AEEBD" xr6:coauthVersionLast="47" xr6:coauthVersionMax="47" xr10:uidLastSave="{DA792C2A-CDA7-4404-844B-470A2EEEC422}"/>
  <bookViews>
    <workbookView xWindow="24975" yWindow="3840" windowWidth="15375" windowHeight="7875" tabRatio="500" xr2:uid="{00000000-000D-0000-FFFF-FFFF00000000}"/>
  </bookViews>
  <sheets>
    <sheet name="Dati_OPTN" sheetId="1" r:id="rId1"/>
    <sheet name="Arrivi" sheetId="2" r:id="rId2"/>
    <sheet name="Uscite" sheetId="3" r:id="rId3"/>
    <sheet name="V1" sheetId="5" r:id="rId4"/>
    <sheet name="Verifica - ABO ID" sheetId="6" r:id="rId5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41" i="3" l="1"/>
  <c r="E41" i="3" s="1"/>
  <c r="E33" i="3"/>
  <c r="E26" i="3"/>
  <c r="E3" i="3"/>
  <c r="E10" i="3"/>
  <c r="C3" i="2"/>
  <c r="H3" i="2"/>
  <c r="H4" i="5"/>
  <c r="H5" i="5"/>
  <c r="H6" i="5"/>
  <c r="H3" i="5"/>
  <c r="F4" i="5"/>
  <c r="F3" i="5"/>
  <c r="E4" i="5"/>
  <c r="E5" i="5"/>
  <c r="E6" i="5"/>
  <c r="E3" i="5"/>
  <c r="H22" i="5"/>
  <c r="G28" i="5"/>
  <c r="H28" i="5" s="1"/>
  <c r="I28" i="5" s="1"/>
  <c r="G26" i="5"/>
  <c r="G24" i="5"/>
  <c r="H24" i="5" s="1"/>
  <c r="I24" i="5" s="1"/>
  <c r="I25" i="5" s="1"/>
  <c r="H23" i="5"/>
  <c r="I22" i="5"/>
  <c r="G22" i="5"/>
  <c r="G23" i="5" s="1"/>
  <c r="G6" i="5"/>
  <c r="F6" i="5"/>
  <c r="G5" i="5"/>
  <c r="F5" i="5"/>
  <c r="G4" i="5"/>
  <c r="G3" i="5"/>
  <c r="C69" i="3"/>
  <c r="D69" i="3" s="1"/>
  <c r="C68" i="3"/>
  <c r="D68" i="3" s="1"/>
  <c r="C67" i="3"/>
  <c r="D67" i="3" s="1"/>
  <c r="C66" i="3"/>
  <c r="D66" i="3" s="1"/>
  <c r="C65" i="3"/>
  <c r="D65" i="3" s="1"/>
  <c r="C64" i="3"/>
  <c r="D64" i="3" s="1"/>
  <c r="C63" i="3"/>
  <c r="D63" i="3" s="1"/>
  <c r="C62" i="3"/>
  <c r="D62" i="3" s="1"/>
  <c r="C61" i="3"/>
  <c r="D61" i="3" s="1"/>
  <c r="C60" i="3"/>
  <c r="D60" i="3" s="1"/>
  <c r="C59" i="3"/>
  <c r="D59" i="3" s="1"/>
  <c r="C58" i="3"/>
  <c r="D58" i="3" s="1"/>
  <c r="C57" i="3"/>
  <c r="D57" i="3" s="1"/>
  <c r="C56" i="3"/>
  <c r="D56" i="3" s="1"/>
  <c r="C55" i="3"/>
  <c r="D55" i="3" s="1"/>
  <c r="C54" i="3"/>
  <c r="D54" i="3" s="1"/>
  <c r="C53" i="3"/>
  <c r="D53" i="3" s="1"/>
  <c r="C52" i="3"/>
  <c r="D52" i="3" s="1"/>
  <c r="C51" i="3"/>
  <c r="D51" i="3" s="1"/>
  <c r="C50" i="3"/>
  <c r="D50" i="3" s="1"/>
  <c r="I22" i="3"/>
  <c r="C22" i="3"/>
  <c r="I21" i="3"/>
  <c r="C21" i="3"/>
  <c r="I20" i="3"/>
  <c r="C20" i="3"/>
  <c r="I19" i="3"/>
  <c r="C19" i="3"/>
  <c r="I18" i="3"/>
  <c r="C18" i="3"/>
  <c r="I17" i="3"/>
  <c r="C17" i="3"/>
  <c r="I16" i="3"/>
  <c r="C16" i="3"/>
  <c r="I15" i="3"/>
  <c r="C15" i="3"/>
  <c r="I14" i="3"/>
  <c r="C14" i="3"/>
  <c r="I13" i="3"/>
  <c r="C13" i="3"/>
  <c r="I12" i="3"/>
  <c r="C12" i="3"/>
  <c r="I11" i="3"/>
  <c r="C11" i="3"/>
  <c r="I10" i="3"/>
  <c r="C10" i="3"/>
  <c r="I9" i="3"/>
  <c r="C9" i="3"/>
  <c r="I8" i="3"/>
  <c r="C8" i="3"/>
  <c r="I7" i="3"/>
  <c r="C7" i="3"/>
  <c r="I6" i="3"/>
  <c r="C6" i="3"/>
  <c r="I5" i="3"/>
  <c r="C5" i="3"/>
  <c r="I4" i="3"/>
  <c r="C4" i="3"/>
  <c r="D4" i="3" s="1"/>
  <c r="I3" i="3"/>
  <c r="C3" i="3"/>
  <c r="D3" i="3" s="1"/>
  <c r="H40" i="2"/>
  <c r="C40" i="2"/>
  <c r="D40" i="2" s="1"/>
  <c r="H39" i="2"/>
  <c r="C39" i="2"/>
  <c r="D39" i="2" s="1"/>
  <c r="H38" i="2"/>
  <c r="C38" i="2"/>
  <c r="D38" i="2" s="1"/>
  <c r="H37" i="2"/>
  <c r="C37" i="2"/>
  <c r="D37" i="2" s="1"/>
  <c r="H36" i="2"/>
  <c r="C36" i="2"/>
  <c r="D36" i="2" s="1"/>
  <c r="H35" i="2"/>
  <c r="C35" i="2"/>
  <c r="D35" i="2" s="1"/>
  <c r="H34" i="2"/>
  <c r="C34" i="2"/>
  <c r="D34" i="2" s="1"/>
  <c r="H33" i="2"/>
  <c r="C33" i="2"/>
  <c r="D33" i="2" s="1"/>
  <c r="H32" i="2"/>
  <c r="C32" i="2"/>
  <c r="D32" i="2" s="1"/>
  <c r="H31" i="2"/>
  <c r="C31" i="2"/>
  <c r="D31" i="2" s="1"/>
  <c r="H30" i="2"/>
  <c r="C30" i="2"/>
  <c r="D30" i="2" s="1"/>
  <c r="H29" i="2"/>
  <c r="C29" i="2"/>
  <c r="D29" i="2" s="1"/>
  <c r="H28" i="2"/>
  <c r="C28" i="2"/>
  <c r="D28" i="2" s="1"/>
  <c r="H27" i="2"/>
  <c r="C27" i="2"/>
  <c r="D27" i="2" s="1"/>
  <c r="H26" i="2"/>
  <c r="C26" i="2"/>
  <c r="D26" i="2" s="1"/>
  <c r="H22" i="2"/>
  <c r="C22" i="2"/>
  <c r="H21" i="2"/>
  <c r="C21" i="2"/>
  <c r="D21" i="2" s="1"/>
  <c r="H20" i="2"/>
  <c r="C20" i="2"/>
  <c r="H19" i="2"/>
  <c r="C19" i="2"/>
  <c r="H18" i="2"/>
  <c r="C18" i="2"/>
  <c r="H17" i="2"/>
  <c r="C17" i="2"/>
  <c r="E64" i="3" s="1"/>
  <c r="H16" i="2"/>
  <c r="C16" i="2"/>
  <c r="H15" i="2"/>
  <c r="C15" i="2"/>
  <c r="E15" i="3" s="1"/>
  <c r="H14" i="2"/>
  <c r="C14" i="2"/>
  <c r="H13" i="2"/>
  <c r="C13" i="2"/>
  <c r="E60" i="3" s="1"/>
  <c r="H12" i="2"/>
  <c r="C12" i="2"/>
  <c r="D12" i="2" s="1"/>
  <c r="H11" i="2"/>
  <c r="C11" i="2"/>
  <c r="E58" i="3" s="1"/>
  <c r="H10" i="2"/>
  <c r="C10" i="2"/>
  <c r="H9" i="2"/>
  <c r="C9" i="2"/>
  <c r="H8" i="2"/>
  <c r="C8" i="2"/>
  <c r="H7" i="2"/>
  <c r="C7" i="2"/>
  <c r="H6" i="2"/>
  <c r="C6" i="2"/>
  <c r="H5" i="2"/>
  <c r="C5" i="2"/>
  <c r="H4" i="2"/>
  <c r="C4" i="2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AA68" i="1"/>
  <c r="Z68" i="1"/>
  <c r="Y68" i="1"/>
  <c r="X68" i="1"/>
  <c r="W68" i="1"/>
  <c r="V68" i="1"/>
  <c r="U68" i="1"/>
  <c r="T68" i="1"/>
  <c r="S68" i="1"/>
  <c r="R68" i="1"/>
  <c r="Q68" i="1"/>
  <c r="I45" i="3" s="1"/>
  <c r="AA67" i="1"/>
  <c r="Z67" i="1"/>
  <c r="Y67" i="1"/>
  <c r="X67" i="1"/>
  <c r="W67" i="1"/>
  <c r="V67" i="1"/>
  <c r="U67" i="1"/>
  <c r="T67" i="1"/>
  <c r="S67" i="1"/>
  <c r="R67" i="1"/>
  <c r="Q67" i="1"/>
  <c r="I44" i="3" s="1"/>
  <c r="AA66" i="1"/>
  <c r="Z66" i="1"/>
  <c r="Y66" i="1"/>
  <c r="X66" i="1"/>
  <c r="W66" i="1"/>
  <c r="V66" i="1"/>
  <c r="U66" i="1"/>
  <c r="T66" i="1"/>
  <c r="S66" i="1"/>
  <c r="R66" i="1"/>
  <c r="Q66" i="1"/>
  <c r="I43" i="3" s="1"/>
  <c r="AA65" i="1"/>
  <c r="Z65" i="1"/>
  <c r="Y65" i="1"/>
  <c r="X65" i="1"/>
  <c r="W65" i="1"/>
  <c r="V65" i="1"/>
  <c r="U65" i="1"/>
  <c r="T65" i="1"/>
  <c r="S65" i="1"/>
  <c r="R65" i="1"/>
  <c r="Q65" i="1"/>
  <c r="AA64" i="1"/>
  <c r="Z64" i="1"/>
  <c r="Y64" i="1"/>
  <c r="X64" i="1"/>
  <c r="W64" i="1"/>
  <c r="V64" i="1"/>
  <c r="U64" i="1"/>
  <c r="T64" i="1"/>
  <c r="S64" i="1"/>
  <c r="R64" i="1"/>
  <c r="Q64" i="1"/>
  <c r="AA63" i="1"/>
  <c r="Z63" i="1"/>
  <c r="Y63" i="1"/>
  <c r="X63" i="1"/>
  <c r="W63" i="1"/>
  <c r="V63" i="1"/>
  <c r="U63" i="1"/>
  <c r="T63" i="1"/>
  <c r="S63" i="1"/>
  <c r="R63" i="1"/>
  <c r="Q63" i="1"/>
  <c r="I40" i="3" s="1"/>
  <c r="AA62" i="1"/>
  <c r="Z62" i="1"/>
  <c r="Y62" i="1"/>
  <c r="X62" i="1"/>
  <c r="W62" i="1"/>
  <c r="V62" i="1"/>
  <c r="U62" i="1"/>
  <c r="T62" i="1"/>
  <c r="S62" i="1"/>
  <c r="R62" i="1"/>
  <c r="Q62" i="1"/>
  <c r="I39" i="3" s="1"/>
  <c r="AA61" i="1"/>
  <c r="Z61" i="1"/>
  <c r="Y61" i="1"/>
  <c r="X61" i="1"/>
  <c r="W61" i="1"/>
  <c r="V61" i="1"/>
  <c r="U61" i="1"/>
  <c r="T61" i="1"/>
  <c r="S61" i="1"/>
  <c r="R61" i="1"/>
  <c r="Q61" i="1"/>
  <c r="AA60" i="1"/>
  <c r="Z60" i="1"/>
  <c r="Y60" i="1"/>
  <c r="X60" i="1"/>
  <c r="W60" i="1"/>
  <c r="V60" i="1"/>
  <c r="U60" i="1"/>
  <c r="T60" i="1"/>
  <c r="S60" i="1"/>
  <c r="R60" i="1"/>
  <c r="Q60" i="1"/>
  <c r="I37" i="3" s="1"/>
  <c r="AA59" i="1"/>
  <c r="Z59" i="1"/>
  <c r="Y59" i="1"/>
  <c r="X59" i="1"/>
  <c r="W59" i="1"/>
  <c r="V59" i="1"/>
  <c r="U59" i="1"/>
  <c r="T59" i="1"/>
  <c r="S59" i="1"/>
  <c r="R59" i="1"/>
  <c r="Q59" i="1"/>
  <c r="I36" i="3" s="1"/>
  <c r="AA58" i="1"/>
  <c r="Z58" i="1"/>
  <c r="Y58" i="1"/>
  <c r="X58" i="1"/>
  <c r="W58" i="1"/>
  <c r="V58" i="1"/>
  <c r="U58" i="1"/>
  <c r="T58" i="1"/>
  <c r="S58" i="1"/>
  <c r="R58" i="1"/>
  <c r="Q58" i="1"/>
  <c r="I35" i="3" s="1"/>
  <c r="AA57" i="1"/>
  <c r="Z57" i="1"/>
  <c r="Y57" i="1"/>
  <c r="X57" i="1"/>
  <c r="W57" i="1"/>
  <c r="V57" i="1"/>
  <c r="U57" i="1"/>
  <c r="T57" i="1"/>
  <c r="S57" i="1"/>
  <c r="R57" i="1"/>
  <c r="Q57" i="1"/>
  <c r="AA56" i="1"/>
  <c r="Z56" i="1"/>
  <c r="Y56" i="1"/>
  <c r="X56" i="1"/>
  <c r="W56" i="1"/>
  <c r="V56" i="1"/>
  <c r="U56" i="1"/>
  <c r="T56" i="1"/>
  <c r="S56" i="1"/>
  <c r="R56" i="1"/>
  <c r="Q56" i="1"/>
  <c r="AA55" i="1"/>
  <c r="Z55" i="1"/>
  <c r="Y55" i="1"/>
  <c r="X55" i="1"/>
  <c r="W55" i="1"/>
  <c r="V55" i="1"/>
  <c r="U55" i="1"/>
  <c r="T55" i="1"/>
  <c r="S55" i="1"/>
  <c r="R55" i="1"/>
  <c r="Q55" i="1"/>
  <c r="I32" i="3" s="1"/>
  <c r="AA54" i="1"/>
  <c r="Z54" i="1"/>
  <c r="Y54" i="1"/>
  <c r="X54" i="1"/>
  <c r="W54" i="1"/>
  <c r="V54" i="1"/>
  <c r="U54" i="1"/>
  <c r="T54" i="1"/>
  <c r="S54" i="1"/>
  <c r="R54" i="1"/>
  <c r="Q54" i="1"/>
  <c r="I31" i="3" s="1"/>
  <c r="AA53" i="1"/>
  <c r="Z53" i="1"/>
  <c r="Y53" i="1"/>
  <c r="X53" i="1"/>
  <c r="W53" i="1"/>
  <c r="V53" i="1"/>
  <c r="U53" i="1"/>
  <c r="T53" i="1"/>
  <c r="S53" i="1"/>
  <c r="R53" i="1"/>
  <c r="Q53" i="1"/>
  <c r="AA52" i="1"/>
  <c r="Z52" i="1"/>
  <c r="Y52" i="1"/>
  <c r="X52" i="1"/>
  <c r="W52" i="1"/>
  <c r="V52" i="1"/>
  <c r="U52" i="1"/>
  <c r="T52" i="1"/>
  <c r="S52" i="1"/>
  <c r="R52" i="1"/>
  <c r="Q52" i="1"/>
  <c r="AA51" i="1"/>
  <c r="Z51" i="1"/>
  <c r="Y51" i="1"/>
  <c r="X51" i="1"/>
  <c r="W51" i="1"/>
  <c r="V51" i="1"/>
  <c r="U51" i="1"/>
  <c r="T51" i="1"/>
  <c r="S51" i="1"/>
  <c r="R51" i="1"/>
  <c r="Q51" i="1"/>
  <c r="I28" i="3" s="1"/>
  <c r="AA50" i="1"/>
  <c r="Z50" i="1"/>
  <c r="Y50" i="1"/>
  <c r="X50" i="1"/>
  <c r="W50" i="1"/>
  <c r="V50" i="1"/>
  <c r="U50" i="1"/>
  <c r="T50" i="1"/>
  <c r="S50" i="1"/>
  <c r="R50" i="1"/>
  <c r="Q50" i="1"/>
  <c r="I27" i="3" s="1"/>
  <c r="AA49" i="1"/>
  <c r="Z49" i="1"/>
  <c r="Y49" i="1"/>
  <c r="X49" i="1"/>
  <c r="W49" i="1"/>
  <c r="V49" i="1"/>
  <c r="U49" i="1"/>
  <c r="T49" i="1"/>
  <c r="S49" i="1"/>
  <c r="R49" i="1"/>
  <c r="Q49" i="1"/>
  <c r="I26" i="3" s="1"/>
  <c r="U94" i="6" l="1"/>
  <c r="V94" i="6" s="1"/>
  <c r="D13" i="2"/>
  <c r="E50" i="3"/>
  <c r="E54" i="3"/>
  <c r="E57" i="3"/>
  <c r="E53" i="3"/>
  <c r="E14" i="3"/>
  <c r="E68" i="3"/>
  <c r="D17" i="2"/>
  <c r="E28" i="6"/>
  <c r="F28" i="6" s="1"/>
  <c r="V28" i="6" s="1"/>
  <c r="C34" i="3"/>
  <c r="D34" i="3" s="1"/>
  <c r="D3" i="2"/>
  <c r="D7" i="2"/>
  <c r="I33" i="3"/>
  <c r="C33" i="3"/>
  <c r="D33" i="3" s="1"/>
  <c r="E7" i="3"/>
  <c r="D7" i="3"/>
  <c r="E11" i="3"/>
  <c r="D11" i="3"/>
  <c r="D15" i="3"/>
  <c r="E19" i="3"/>
  <c r="D19" i="3"/>
  <c r="C26" i="3"/>
  <c r="D26" i="3" s="1"/>
  <c r="E61" i="3"/>
  <c r="C37" i="3"/>
  <c r="D37" i="3" s="1"/>
  <c r="E62" i="3"/>
  <c r="C38" i="3"/>
  <c r="D38" i="3" s="1"/>
  <c r="E69" i="3"/>
  <c r="C45" i="3"/>
  <c r="D45" i="3" s="1"/>
  <c r="E30" i="6"/>
  <c r="E5" i="3"/>
  <c r="D5" i="3"/>
  <c r="E9" i="3"/>
  <c r="D9" i="3"/>
  <c r="E13" i="3"/>
  <c r="D13" i="3"/>
  <c r="E17" i="3"/>
  <c r="D17" i="3"/>
  <c r="E21" i="3"/>
  <c r="D21" i="3"/>
  <c r="E51" i="3"/>
  <c r="C27" i="3"/>
  <c r="D27" i="3" s="1"/>
  <c r="E52" i="3"/>
  <c r="C28" i="3"/>
  <c r="D28" i="3" s="1"/>
  <c r="D5" i="2"/>
  <c r="E55" i="3"/>
  <c r="C31" i="3"/>
  <c r="D31" i="3" s="1"/>
  <c r="E56" i="3"/>
  <c r="C32" i="3"/>
  <c r="D32" i="3" s="1"/>
  <c r="D9" i="2"/>
  <c r="D14" i="2"/>
  <c r="D15" i="2"/>
  <c r="D16" i="2"/>
  <c r="E63" i="3"/>
  <c r="C39" i="3"/>
  <c r="D39" i="3" s="1"/>
  <c r="D22" i="2"/>
  <c r="E29" i="6"/>
  <c r="E4" i="3"/>
  <c r="D6" i="3"/>
  <c r="E6" i="3"/>
  <c r="D8" i="3"/>
  <c r="E8" i="3"/>
  <c r="D10" i="3"/>
  <c r="D12" i="3"/>
  <c r="E12" i="3"/>
  <c r="D14" i="3"/>
  <c r="D16" i="3"/>
  <c r="E16" i="3"/>
  <c r="D18" i="3"/>
  <c r="E18" i="3"/>
  <c r="D20" i="3"/>
  <c r="E20" i="3"/>
  <c r="E22" i="3"/>
  <c r="D22" i="3"/>
  <c r="I29" i="3"/>
  <c r="C29" i="3"/>
  <c r="D29" i="3" s="1"/>
  <c r="I41" i="3"/>
  <c r="D41" i="3"/>
  <c r="K3" i="6"/>
  <c r="M3" i="6" s="1"/>
  <c r="D3" i="6"/>
  <c r="E3" i="6" s="1"/>
  <c r="I30" i="3"/>
  <c r="K4" i="6"/>
  <c r="M4" i="6" s="1"/>
  <c r="D4" i="6"/>
  <c r="E4" i="6" s="1"/>
  <c r="I34" i="3"/>
  <c r="K5" i="6"/>
  <c r="M5" i="6" s="1"/>
  <c r="D5" i="6"/>
  <c r="E5" i="6" s="1"/>
  <c r="I38" i="3"/>
  <c r="K6" i="6"/>
  <c r="M6" i="6" s="1"/>
  <c r="D6" i="6"/>
  <c r="E6" i="6" s="1"/>
  <c r="I42" i="3"/>
  <c r="C43" i="3"/>
  <c r="D43" i="3" s="1"/>
  <c r="D4" i="2"/>
  <c r="D8" i="2"/>
  <c r="C30" i="3"/>
  <c r="D30" i="3" s="1"/>
  <c r="G27" i="5"/>
  <c r="H27" i="5" s="1"/>
  <c r="H26" i="5"/>
  <c r="I26" i="5" s="1"/>
  <c r="E65" i="3"/>
  <c r="E66" i="3"/>
  <c r="U91" i="6"/>
  <c r="V91" i="6" s="1"/>
  <c r="C36" i="3"/>
  <c r="J22" i="5"/>
  <c r="I23" i="5"/>
  <c r="J23" i="5" s="1"/>
  <c r="D6" i="2"/>
  <c r="D10" i="2"/>
  <c r="D11" i="2"/>
  <c r="D18" i="2"/>
  <c r="D19" i="2"/>
  <c r="D20" i="2"/>
  <c r="E27" i="6"/>
  <c r="U92" i="6"/>
  <c r="V92" i="6" s="1"/>
  <c r="C35" i="3"/>
  <c r="C40" i="3"/>
  <c r="C42" i="3"/>
  <c r="D42" i="3" s="1"/>
  <c r="C44" i="3"/>
  <c r="E59" i="3"/>
  <c r="E67" i="3"/>
  <c r="J24" i="5"/>
  <c r="U93" i="6"/>
  <c r="V93" i="6" s="1"/>
  <c r="G25" i="5"/>
  <c r="H25" i="5" s="1"/>
  <c r="I29" i="5"/>
  <c r="J29" i="5" s="1"/>
  <c r="J28" i="5"/>
  <c r="G29" i="5"/>
  <c r="H29" i="5" s="1"/>
  <c r="N28" i="6" l="1"/>
  <c r="AB28" i="6" s="1"/>
  <c r="AC28" i="6" s="1"/>
  <c r="E30" i="3"/>
  <c r="E37" i="3"/>
  <c r="E34" i="3"/>
  <c r="G10" i="6"/>
  <c r="E28" i="3"/>
  <c r="E39" i="3"/>
  <c r="E27" i="3"/>
  <c r="E29" i="3"/>
  <c r="L29" i="5"/>
  <c r="K29" i="5"/>
  <c r="M29" i="5" s="1"/>
  <c r="L22" i="5"/>
  <c r="K22" i="5"/>
  <c r="M22" i="5" s="1"/>
  <c r="G15" i="6"/>
  <c r="G21" i="6"/>
  <c r="G14" i="6"/>
  <c r="N29" i="6"/>
  <c r="F29" i="6"/>
  <c r="V29" i="6" s="1"/>
  <c r="F30" i="6"/>
  <c r="V30" i="6" s="1"/>
  <c r="N30" i="6"/>
  <c r="L24" i="5"/>
  <c r="K24" i="5"/>
  <c r="M24" i="5" s="1"/>
  <c r="E40" i="3"/>
  <c r="D40" i="3"/>
  <c r="G22" i="6"/>
  <c r="G17" i="6"/>
  <c r="G16" i="6"/>
  <c r="E38" i="3"/>
  <c r="E35" i="3"/>
  <c r="D35" i="3"/>
  <c r="N27" i="6"/>
  <c r="F27" i="6"/>
  <c r="V27" i="6" s="1"/>
  <c r="J25" i="5"/>
  <c r="D36" i="3"/>
  <c r="E36" i="3"/>
  <c r="G11" i="6"/>
  <c r="G19" i="6"/>
  <c r="E45" i="3"/>
  <c r="L28" i="5"/>
  <c r="K28" i="5"/>
  <c r="M28" i="5" s="1"/>
  <c r="E44" i="3"/>
  <c r="D44" i="3"/>
  <c r="E43" i="3"/>
  <c r="K23" i="5"/>
  <c r="M23" i="5" s="1"/>
  <c r="L23" i="5"/>
  <c r="E42" i="3"/>
  <c r="J26" i="5"/>
  <c r="I27" i="5"/>
  <c r="J27" i="5" s="1"/>
  <c r="G20" i="6"/>
  <c r="G13" i="6"/>
  <c r="G12" i="6"/>
  <c r="E31" i="3"/>
  <c r="E32" i="3"/>
  <c r="I35" i="6"/>
  <c r="P13" i="6" l="1"/>
  <c r="AB27" i="6"/>
  <c r="AC27" i="6" s="1"/>
  <c r="P17" i="6"/>
  <c r="C49" i="6" s="1"/>
  <c r="I36" i="6"/>
  <c r="AB30" i="6"/>
  <c r="AC30" i="6" s="1"/>
  <c r="AB29" i="6"/>
  <c r="AC29" i="6" s="1"/>
  <c r="Q20" i="6"/>
  <c r="P12" i="6"/>
  <c r="L26" i="5"/>
  <c r="K26" i="5"/>
  <c r="M26" i="5" s="1"/>
  <c r="L25" i="5"/>
  <c r="K25" i="5"/>
  <c r="M25" i="5" s="1"/>
  <c r="P11" i="6"/>
  <c r="I37" i="6"/>
  <c r="Q21" i="6"/>
  <c r="P14" i="6"/>
  <c r="K27" i="5"/>
  <c r="M27" i="5" s="1"/>
  <c r="L27" i="5"/>
  <c r="Q19" i="6"/>
  <c r="P10" i="6"/>
  <c r="I34" i="6"/>
  <c r="Q22" i="6"/>
  <c r="P16" i="6"/>
  <c r="P15" i="6"/>
  <c r="T110" i="6" l="1"/>
  <c r="C47" i="6"/>
  <c r="T109" i="6"/>
  <c r="C46" i="6"/>
  <c r="D35" i="6"/>
  <c r="T118" i="6"/>
  <c r="U99" i="6"/>
  <c r="T57" i="6"/>
  <c r="T56" i="6"/>
  <c r="T117" i="6"/>
  <c r="U98" i="6"/>
  <c r="D34" i="6"/>
  <c r="C45" i="6"/>
  <c r="T105" i="6"/>
  <c r="C42" i="6"/>
  <c r="T111" i="6"/>
  <c r="C48" i="6"/>
  <c r="U100" i="6"/>
  <c r="T119" i="6"/>
  <c r="T58" i="6"/>
  <c r="D36" i="6"/>
  <c r="T120" i="6"/>
  <c r="T59" i="6"/>
  <c r="D37" i="6"/>
  <c r="U101" i="6"/>
  <c r="T106" i="6"/>
  <c r="C43" i="6"/>
  <c r="T112" i="6"/>
  <c r="T108" i="6"/>
  <c r="T107" i="6"/>
  <c r="C44" i="6"/>
  <c r="U112" i="6" l="1"/>
  <c r="U110" i="6"/>
  <c r="U106" i="6"/>
  <c r="U111" i="6"/>
  <c r="F98" i="6" s="1"/>
  <c r="D46" i="6"/>
  <c r="F58" i="6" s="1"/>
  <c r="D44" i="6"/>
  <c r="F56" i="6" s="1"/>
  <c r="D42" i="6"/>
  <c r="F55" i="6" s="1"/>
  <c r="U109" i="6"/>
  <c r="F95" i="6" s="1"/>
  <c r="D45" i="6"/>
  <c r="D47" i="6"/>
  <c r="F54" i="6"/>
  <c r="U107" i="6"/>
  <c r="F94" i="6" s="1"/>
  <c r="U108" i="6"/>
  <c r="D43" i="6"/>
  <c r="D48" i="6"/>
  <c r="F61" i="6" s="1"/>
  <c r="U105" i="6"/>
  <c r="F92" i="6" s="1"/>
  <c r="D49" i="6"/>
  <c r="F96" i="6" l="1"/>
  <c r="F57" i="6"/>
  <c r="O57" i="6" s="1"/>
  <c r="O75" i="6" s="1"/>
  <c r="F59" i="6"/>
  <c r="F66" i="6" s="1"/>
  <c r="F84" i="6" s="1"/>
  <c r="F93" i="6"/>
  <c r="O93" i="6" s="1"/>
  <c r="O61" i="6"/>
  <c r="O79" i="6" s="1"/>
  <c r="F79" i="6"/>
  <c r="O94" i="6"/>
  <c r="O112" i="6" s="1"/>
  <c r="F112" i="6"/>
  <c r="O55" i="6"/>
  <c r="O73" i="6" s="1"/>
  <c r="F73" i="6"/>
  <c r="F64" i="6"/>
  <c r="F82" i="6" s="1"/>
  <c r="O56" i="6"/>
  <c r="F74" i="6"/>
  <c r="F65" i="6"/>
  <c r="F83" i="6" s="1"/>
  <c r="O92" i="6"/>
  <c r="O110" i="6" s="1"/>
  <c r="F110" i="6"/>
  <c r="O98" i="6"/>
  <c r="O116" i="6" s="1"/>
  <c r="F116" i="6"/>
  <c r="O59" i="6"/>
  <c r="O77" i="6" s="1"/>
  <c r="F77" i="6"/>
  <c r="O96" i="6"/>
  <c r="O114" i="6" s="1"/>
  <c r="F114" i="6"/>
  <c r="O58" i="6"/>
  <c r="F76" i="6"/>
  <c r="O54" i="6"/>
  <c r="F72" i="6"/>
  <c r="F91" i="6"/>
  <c r="F60" i="6"/>
  <c r="F103" i="6"/>
  <c r="F121" i="6" s="1"/>
  <c r="F97" i="6"/>
  <c r="O95" i="6"/>
  <c r="F113" i="6"/>
  <c r="F75" i="6" l="1"/>
  <c r="F102" i="6"/>
  <c r="F120" i="6" s="1"/>
  <c r="F111" i="6"/>
  <c r="O60" i="6"/>
  <c r="F78" i="6"/>
  <c r="F67" i="6"/>
  <c r="F85" i="6" s="1"/>
  <c r="O91" i="6"/>
  <c r="F109" i="6"/>
  <c r="F101" i="6"/>
  <c r="F119" i="6" s="1"/>
  <c r="O76" i="6"/>
  <c r="O66" i="6"/>
  <c r="O84" i="6" s="1"/>
  <c r="O74" i="6"/>
  <c r="O65" i="6"/>
  <c r="O83" i="6" s="1"/>
  <c r="O113" i="6"/>
  <c r="O103" i="6"/>
  <c r="O121" i="6" s="1"/>
  <c r="O97" i="6"/>
  <c r="F115" i="6"/>
  <c r="F104" i="6"/>
  <c r="F122" i="6" s="1"/>
  <c r="O72" i="6"/>
  <c r="O64" i="6"/>
  <c r="O82" i="6" s="1"/>
  <c r="O111" i="6"/>
  <c r="O102" i="6"/>
  <c r="O120" i="6" s="1"/>
  <c r="O115" i="6" l="1"/>
  <c r="O104" i="6"/>
  <c r="O122" i="6" s="1"/>
  <c r="O109" i="6"/>
  <c r="O101" i="6"/>
  <c r="O119" i="6" s="1"/>
  <c r="O78" i="6"/>
  <c r="O67" i="6"/>
  <c r="O85" i="6" s="1"/>
</calcChain>
</file>

<file path=xl/sharedStrings.xml><?xml version="1.0" encoding="utf-8"?>
<sst xmlns="http://schemas.openxmlformats.org/spreadsheetml/2006/main" count="1097" uniqueCount="211">
  <si>
    <t>PAZIENTI - ARRIVI</t>
  </si>
  <si>
    <t>ORGANI - ARRIVI</t>
  </si>
  <si>
    <t>ABO</t>
  </si>
  <si>
    <t>Priorità</t>
  </si>
  <si>
    <t>2019</t>
  </si>
  <si>
    <t>2018</t>
  </si>
  <si>
    <t>2017</t>
  </si>
  <si>
    <t>2016</t>
  </si>
  <si>
    <t>2015</t>
  </si>
  <si>
    <t>2014</t>
  </si>
  <si>
    <t>2013</t>
  </si>
  <si>
    <t>2012</t>
  </si>
  <si>
    <t>2011</t>
  </si>
  <si>
    <t>2010</t>
  </si>
  <si>
    <t>2009</t>
  </si>
  <si>
    <t>Donor type</t>
  </si>
  <si>
    <t>All ABO</t>
  </si>
  <si>
    <t>All Types</t>
  </si>
  <si>
    <t>All Donor Types</t>
  </si>
  <si>
    <t>Critical</t>
  </si>
  <si>
    <t>Deceased Donor</t>
  </si>
  <si>
    <t>Normal</t>
  </si>
  <si>
    <t>Living Donor</t>
  </si>
  <si>
    <t>Low</t>
  </si>
  <si>
    <t>O</t>
  </si>
  <si>
    <t>A</t>
  </si>
  <si>
    <t>B</t>
  </si>
  <si>
    <t>AB</t>
  </si>
  <si>
    <t>PAZIENTI - DECESSI</t>
  </si>
  <si>
    <t>PAZIENTI - ABBANDONI (TOT)</t>
  </si>
  <si>
    <t>Priority</t>
  </si>
  <si>
    <t>TRAPIANTI</t>
  </si>
  <si>
    <t>PAZIENTI - ABBANDONI</t>
  </si>
  <si>
    <t>Rigetto</t>
  </si>
  <si>
    <t>Years PT</t>
  </si>
  <si>
    <t>No rigetto</t>
  </si>
  <si>
    <t>P(successo)</t>
  </si>
  <si>
    <t>P(Rigetto)</t>
  </si>
  <si>
    <t>PAZIENTI – ARRIVI – 2019</t>
  </si>
  <si>
    <t>p/giorno</t>
  </si>
  <si>
    <t>ORGANI – ARRIVI – 2019</t>
  </si>
  <si>
    <t>Tipo</t>
  </si>
  <si>
    <t>o/giorno</t>
  </si>
  <si>
    <t>PAZIENTI – DECESSI -2019</t>
  </si>
  <si>
    <t>Probabilità</t>
  </si>
  <si>
    <t>d/giorno</t>
  </si>
  <si>
    <t>PAZIENTI – ABBANDONI -2019</t>
  </si>
  <si>
    <t>E(S)</t>
  </si>
  <si>
    <t>Utilizzazione</t>
  </si>
  <si>
    <t>E(Tq)</t>
  </si>
  <si>
    <t>E(Ts)</t>
  </si>
  <si>
    <t>E(Nq)</t>
  </si>
  <si>
    <t>E(Ns)</t>
  </si>
  <si>
    <t>Tasso di arrivo (tot)</t>
  </si>
  <si>
    <t>Tasso di morte</t>
  </si>
  <si>
    <t>Tasso di renege</t>
  </si>
  <si>
    <t>Tasso di arrivo (eff)</t>
  </si>
  <si>
    <t>Tasso di arrivo</t>
  </si>
  <si>
    <t>K</t>
  </si>
  <si>
    <t>Tot</t>
  </si>
  <si>
    <t>All</t>
  </si>
  <si>
    <t>Deceased</t>
  </si>
  <si>
    <t>Living</t>
  </si>
  <si>
    <t>Activation center</t>
  </si>
  <si>
    <t>Probabilità di morte</t>
  </si>
  <si>
    <t>Probabilità di renege</t>
  </si>
  <si>
    <t>Waiting List</t>
  </si>
  <si>
    <t>Organ Bank</t>
  </si>
  <si>
    <t>Matching</t>
  </si>
  <si>
    <t>PAZIENTI – DECESSI – PROBABILITÀ</t>
  </si>
  <si>
    <t>PAZIENTI – USCITE – PROBABILITÀ</t>
  </si>
  <si>
    <t>BT</t>
  </si>
  <si>
    <t>FORMULA</t>
  </si>
  <si>
    <t>P_R</t>
  </si>
  <si>
    <t>P_APPR</t>
  </si>
  <si>
    <t>P</t>
  </si>
  <si>
    <t>INC</t>
  </si>
  <si>
    <t>(decesso)/(arrivo+uscita)</t>
  </si>
  <si>
    <t>(uscita)/(arrivo+decesso)</t>
  </si>
  <si>
    <t>TASSI EFFETTIVI LISTA ATTESA</t>
  </si>
  <si>
    <t>TASSI DI MATCHING – (TASSO AL TRAPIANTO) CON PRIOR</t>
  </si>
  <si>
    <t>CRITICO</t>
  </si>
  <si>
    <t>(arrivo,C,O)*(1-p_uscita,O-p_decesso,O)</t>
  </si>
  <si>
    <t>tasso_effettivo_O,C</t>
  </si>
  <si>
    <t>NORMALE</t>
  </si>
  <si>
    <t>(arrivo,N,O)*(1-p_uscita,O-p_decesso,O)</t>
  </si>
  <si>
    <t>tasso_effettivo_O,N+tasso_effettivo_O,I</t>
  </si>
  <si>
    <t>(arrivo,C,A)*(1-p_uscita,A-p_decesso,A)</t>
  </si>
  <si>
    <t>tasso_effettivo_A,C</t>
  </si>
  <si>
    <t>(arrivo,N,A)*(1-p_uscita,A-p_decesso,A)</t>
  </si>
  <si>
    <t>tasso_effettivo_A,N+tasso_effettivo_A,I</t>
  </si>
  <si>
    <t>(arrivo,C,B)*(1-p_uscita,B-p_decesso,B)</t>
  </si>
  <si>
    <t>tasso_effettivo_B,C</t>
  </si>
  <si>
    <t>(arrivo,N,B)*(1-p_uscita,B-p_decesso,B)</t>
  </si>
  <si>
    <t>tasso_effettivo_B,N+tasso_effettivo_B,I</t>
  </si>
  <si>
    <t xml:space="preserve">CRITICO </t>
  </si>
  <si>
    <t>(arrivo,C,AB)*(1-p_uscita,AB-p_decesso,AB)</t>
  </si>
  <si>
    <t>tasso_effettivo_AB,C</t>
  </si>
  <si>
    <t>(arrivo,N,AB)*(1-p_uscita,AB-p_decesso,AB)</t>
  </si>
  <si>
    <t>tasso_effettivo_AB,N+tasso_effettivo_AB,I</t>
  </si>
  <si>
    <t>INATTIVI</t>
  </si>
  <si>
    <t>TASSI DI MATCHING – (TASSO AL TRAPIANTO)</t>
  </si>
  <si>
    <t>INATTIVO</t>
  </si>
  <si>
    <t>(arrivo,I,O)*(1-p_uscita,O-p_decesso,O)</t>
  </si>
  <si>
    <t>tasso_effettivo_O,C+tasso_effettivo_O,N+tasso_effettivo_O,I</t>
  </si>
  <si>
    <t>(arrivo,I,A)*(1-p_uscita,A-p_decesso,A)</t>
  </si>
  <si>
    <t>tasso_effettivo_A,C+tasso_effettivo_A,N+tasso_effettivo_A,I</t>
  </si>
  <si>
    <t>(arrivo,I,B)*(1-p_uscita,B-p_decesso,B)</t>
  </si>
  <si>
    <t>tasso_effettivo_B,C+tasso_effettivo_B,N+tasso_effettivo_B,I</t>
  </si>
  <si>
    <t>(arrivo,I,AB)*(1-p_uscita,AB-p_decesso,AB)</t>
  </si>
  <si>
    <t>tasso_effettivo_AB,C+tasso_effettivo_AB,N+tasso_effettivo_AB,I</t>
  </si>
  <si>
    <t>PROBABILITÀ H2 – SERVIZIO ORGANI</t>
  </si>
  <si>
    <t>TEMPO DI SERVIZIO H2 - STADIO 1</t>
  </si>
  <si>
    <t>TASSO DI SERVIZIO H2 – STADIO 2</t>
  </si>
  <si>
    <t>TASSO DI SERVIZIO H2</t>
  </si>
  <si>
    <t>1-P</t>
  </si>
  <si>
    <t>E(S1)</t>
  </si>
  <si>
    <t>E(S2)</t>
  </si>
  <si>
    <t>MU</t>
  </si>
  <si>
    <t>(donatori viventi_O)/(donatori totali_O)</t>
  </si>
  <si>
    <t>1/(2*P*tasso_donatore_vivente_O)</t>
  </si>
  <si>
    <t>1/(2*(1-P)*tasso_donatore_morto_O)</t>
  </si>
  <si>
    <t>P*E(s1)+(1-P)*E(s2)</t>
  </si>
  <si>
    <t>(donatori viventi_A)/(donatori totali_A)</t>
  </si>
  <si>
    <t>1/(2*P*tasso_donatore_vivente_A)</t>
  </si>
  <si>
    <t>1/(2*(1-P)*tasso_donatore_morto_A)</t>
  </si>
  <si>
    <t>(donatori viventi_B)/(donatori totali_B)</t>
  </si>
  <si>
    <t>1/(2*P*tasso_donatore_vivente_B)</t>
  </si>
  <si>
    <t>1/(2*(1-P)*tasso_donatore_morto_B)</t>
  </si>
  <si>
    <t>(donatori viventi_AB)/(donatori totali_AB)</t>
  </si>
  <si>
    <t>1/(2*P*tasso_donatore_vivente_AB)</t>
  </si>
  <si>
    <t>1/(2*(1-P)*tasso_donatore_morto_AB)</t>
  </si>
  <si>
    <t>UTILIZZAZIONE</t>
  </si>
  <si>
    <t>G(P)</t>
  </si>
  <si>
    <t>tasso_match_O*E(S)</t>
  </si>
  <si>
    <t>1/(2*P*(1-P))-1</t>
  </si>
  <si>
    <t>tasso_match_A*E(S)</t>
  </si>
  <si>
    <t>tasso_match_B*E(S)</t>
  </si>
  <si>
    <t>tasso_match_AB*E(S)</t>
  </si>
  <si>
    <t>UTILIZZAZIONE – SINGOLA CODA PRIORITÀ</t>
  </si>
  <si>
    <t>PRIORITÀ</t>
  </si>
  <si>
    <t>P1-P2</t>
  </si>
  <si>
    <t>RO1-RO2</t>
  </si>
  <si>
    <t>CRITICO (1)</t>
  </si>
  <si>
    <t>NORMALE (2)</t>
  </si>
  <si>
    <t>ASSUMO SERVIZIO ORGANI IPER-ESPONENZIALE CON I DUE STADI DI SERVIZIO</t>
  </si>
  <si>
    <t>TEMPO DI ATTESA IN CODA – LOCALE</t>
  </si>
  <si>
    <t>TEMPO DI RISPOSTA – LOCALE</t>
  </si>
  <si>
    <t>PRIORITA</t>
  </si>
  <si>
    <t>E(TQ)</t>
  </si>
  <si>
    <t>E(TS)</t>
  </si>
  <si>
    <t>RO*E(S)*(1+G(P))/2*(1-RO1)</t>
  </si>
  <si>
    <t>E(TQ1)+E(S)</t>
  </si>
  <si>
    <t>RO*E(S)*(1+G(P))/2*(1-RO1)(1-RO)</t>
  </si>
  <si>
    <t>E(TQ2)+E(S)</t>
  </si>
  <si>
    <t>CODE BILANCIATE</t>
  </si>
  <si>
    <t>TEMPO DI ATTESA – GLOBALE</t>
  </si>
  <si>
    <t>TEMPO DI RISPOSTA – GLOBALE</t>
  </si>
  <si>
    <t>P1*E(TQ1)+P2*E(TQ2)</t>
  </si>
  <si>
    <t>P1*E(TS1)+P2*E(TS2)</t>
  </si>
  <si>
    <t>NUMERO MEDIO IN CODA – LOCALE</t>
  </si>
  <si>
    <t>NUMERO MEDIO IN NODO – LOCALE</t>
  </si>
  <si>
    <t>E(NQ)</t>
  </si>
  <si>
    <t>E(NS)</t>
  </si>
  <si>
    <t>tasso_effettivo_O,C*E(TQ1)</t>
  </si>
  <si>
    <t>tasso_effettivo_O,C*E(TS1)</t>
  </si>
  <si>
    <t>tasso_effettivo_O,N*E(TQ2)</t>
  </si>
  <si>
    <t>tasso_effettivo_O,N*E(TS2)</t>
  </si>
  <si>
    <t>tasso_effettivo_A,C*E(TQ1)</t>
  </si>
  <si>
    <t>tasso_effettivo_A,C*E(TS1)</t>
  </si>
  <si>
    <t>tasso_effettivo_A,N*E(TQ2)</t>
  </si>
  <si>
    <t>tasso_effettivo_A,N*E(TS2)</t>
  </si>
  <si>
    <t>tasso_effettivo_B,C*E(TQ1)</t>
  </si>
  <si>
    <t>tasso_effettivo_B,C*E(TS1)</t>
  </si>
  <si>
    <t>tasso_effettivo_B,N*E(TQ2)</t>
  </si>
  <si>
    <t>tasso_effettivo_B,N*E(TS2)</t>
  </si>
  <si>
    <t>tasso_effettivo_AB,C*E(TQ1)</t>
  </si>
  <si>
    <t>tasso_effettivo_AB,C*E(TS1)</t>
  </si>
  <si>
    <t>tasso_effettivo_AB,N*E(TQ2)</t>
  </si>
  <si>
    <t>tasso_effettivo_AB,N*E(TS2)</t>
  </si>
  <si>
    <t>NUMERO MEDIO IN CODA – GLOBALE</t>
  </si>
  <si>
    <t>NUMERO MEDIO IN NODO – GLOBALE</t>
  </si>
  <si>
    <t>tasso_effettivo_O*E(TQ)</t>
  </si>
  <si>
    <t>tasso_effettivo_O*E(TS)</t>
  </si>
  <si>
    <t>tasso_effettivo_A*E(TQ)</t>
  </si>
  <si>
    <t>tasso_effettivo_A*E(TS)</t>
  </si>
  <si>
    <t>tasso_effettivo_B*E(TQ)</t>
  </si>
  <si>
    <t>tasso_effettivo_B*E(TS)</t>
  </si>
  <si>
    <t>tasso_effettivo_AB*E(TQ)</t>
  </si>
  <si>
    <t>tasso_effettivo_AB*E(TS)</t>
  </si>
  <si>
    <t>ASSUMO SERVIZIO ORGANI ESPONENZIALE CUMULANDO IL SERVIZIO CON I DUE TIPI DI DONATORI</t>
  </si>
  <si>
    <t>TASSO DI SERVIZIO M</t>
  </si>
  <si>
    <t>RO*E(S)/(1-RO1)</t>
  </si>
  <si>
    <t>1/(tasso_donatori_O)</t>
  </si>
  <si>
    <t>RO*E(S)/(1-RO1)*(1-RO)</t>
  </si>
  <si>
    <t>1/(tasso_donatori_A)</t>
  </si>
  <si>
    <t>1/(tasso_donatori_B)</t>
  </si>
  <si>
    <t>1/(tasso_donatori_AB)</t>
  </si>
  <si>
    <t>Tasso di attivazione</t>
  </si>
  <si>
    <t>PAZIENTI - ARRIVI - (2014-2019)</t>
  </si>
  <si>
    <t>p/anno</t>
  </si>
  <si>
    <t>ORGANI - ARRIVI - (2014-2019)</t>
  </si>
  <si>
    <t>o/anno</t>
  </si>
  <si>
    <t>PAZIENTI - DECESSI - (2014-2019)</t>
  </si>
  <si>
    <t>d/anno</t>
  </si>
  <si>
    <t>PAZIENTI - ABBANDONI - (2014-2019)</t>
  </si>
  <si>
    <t>PAZIENTI - TRAPIANTI - (2014-2019)</t>
  </si>
  <si>
    <t>r/anno</t>
  </si>
  <si>
    <t>r/giorno</t>
  </si>
  <si>
    <t>t/anno</t>
  </si>
  <si>
    <t>t/giorno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</si>
</sst>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00"/>
    <numFmt numFmtId="165" formatCode="0.000"/>
    <numFmt numFmtId="166" formatCode="0.0000"/>
    <numFmt numFmtId="167" formatCode="#,##0.000000"/>
    <numFmt numFmtId="168" formatCode="0.00000"/>
  </numFmts>
  <fonts count="7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b/>
      <sz val="11"/>
      <name val="Calibri"/>
      <family val="2"/>
      <charset val="1"/>
    </font>
    <font>
      <b/>
      <sz val="10"/>
      <color rgb="FF000000"/>
      <name val="Arial"/>
      <family val="2"/>
      <charset val="1"/>
    </font>
    <font>
      <sz val="11"/>
      <color rgb="FF000000"/>
      <name val="Calibri"/>
      <family val="2"/>
    </font>
    <font>
      <sz val="11"/>
      <name val="Calibri"/>
      <family val="2"/>
      <charset val="1"/>
    </font>
  </fonts>
  <fills count="18">
    <fill>
      <patternFill patternType="none"/>
    </fill>
    <fill>
      <patternFill patternType="gray125"/>
    </fill>
    <fill>
      <patternFill patternType="solid">
        <fgColor rgb="FFFFFF00"/>
        <bgColor rgb="FFE6E905"/>
      </patternFill>
    </fill>
    <fill>
      <patternFill patternType="solid">
        <fgColor rgb="FF92D050"/>
        <bgColor rgb="FF81D41A"/>
      </patternFill>
    </fill>
    <fill>
      <patternFill patternType="solid">
        <fgColor rgb="FFD0CECE"/>
        <bgColor rgb="FFC5E0B4"/>
      </patternFill>
    </fill>
    <fill>
      <patternFill patternType="solid">
        <fgColor rgb="FFF4B183"/>
        <bgColor rgb="FFFFA6A6"/>
      </patternFill>
    </fill>
    <fill>
      <patternFill patternType="solid">
        <fgColor rgb="FFC5E0B4"/>
        <bgColor rgb="FFD0CECE"/>
      </patternFill>
    </fill>
    <fill>
      <patternFill patternType="solid">
        <fgColor rgb="FFE2F0D9"/>
        <bgColor rgb="FFDAE3F3"/>
      </patternFill>
    </fill>
    <fill>
      <patternFill patternType="solid">
        <fgColor rgb="FFB4C7E7"/>
        <bgColor rgb="FFD0CECE"/>
      </patternFill>
    </fill>
    <fill>
      <patternFill patternType="solid">
        <fgColor rgb="FFDAE3F3"/>
        <bgColor rgb="FFE2F0D9"/>
      </patternFill>
    </fill>
    <fill>
      <patternFill patternType="solid">
        <fgColor rgb="FFF8CBAD"/>
        <bgColor rgb="FFF7D1D5"/>
      </patternFill>
    </fill>
    <fill>
      <patternFill patternType="solid">
        <fgColor rgb="FFFF8000"/>
        <bgColor rgb="FFFF6600"/>
      </patternFill>
    </fill>
    <fill>
      <patternFill patternType="solid">
        <fgColor rgb="FFEC9BA4"/>
        <bgColor rgb="FFFFA6A6"/>
      </patternFill>
    </fill>
    <fill>
      <patternFill patternType="solid">
        <fgColor rgb="FF729FCF"/>
        <bgColor rgb="FF8FAADC"/>
      </patternFill>
    </fill>
    <fill>
      <patternFill patternType="solid">
        <fgColor rgb="FFFFA6A6"/>
        <bgColor rgb="FFEC9BA4"/>
      </patternFill>
    </fill>
    <fill>
      <patternFill patternType="solid">
        <fgColor rgb="FFF7D1D5"/>
        <bgColor rgb="FFF8CBAD"/>
      </patternFill>
    </fill>
    <fill>
      <patternFill patternType="solid">
        <fgColor rgb="FFE6E905"/>
        <bgColor rgb="FFFFFF00"/>
      </patternFill>
    </fill>
    <fill>
      <patternFill patternType="solid">
        <fgColor rgb="FF81D41A"/>
        <bgColor rgb="FF92D050"/>
      </patternFill>
    </fill>
  </fills>
  <borders count="2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</borders>
  <cellStyleXfs count="1">
    <xf numFmtId="0" fontId="0" fillId="0" borderId="0"/>
  </cellStyleXfs>
  <cellXfs count="124">
    <xf numFmtId="0" fontId="0" fillId="0" borderId="0" xfId="0"/>
    <xf numFmtId="0" fontId="1" fillId="5" borderId="1" xfId="0" applyFont="1" applyFill="1" applyBorder="1" applyAlignment="1">
      <alignment horizontal="center"/>
    </xf>
    <xf numFmtId="0" fontId="0" fillId="0" borderId="0" xfId="0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2" fontId="0" fillId="0" borderId="0" xfId="0" applyNumberFormat="1"/>
    <xf numFmtId="0" fontId="1" fillId="0" borderId="0" xfId="0" applyFont="1" applyAlignment="1">
      <alignment horizontal="center"/>
    </xf>
    <xf numFmtId="164" fontId="0" fillId="0" borderId="0" xfId="0" applyNumberFormat="1"/>
    <xf numFmtId="165" fontId="0" fillId="0" borderId="0" xfId="0" applyNumberFormat="1"/>
    <xf numFmtId="0" fontId="1" fillId="0" borderId="2" xfId="0" applyFont="1" applyBorder="1" applyAlignment="1">
      <alignment horizontal="center"/>
    </xf>
    <xf numFmtId="166" fontId="0" fillId="0" borderId="0" xfId="0" applyNumberFormat="1"/>
    <xf numFmtId="168" fontId="0" fillId="0" borderId="0" xfId="0" applyNumberFormat="1"/>
    <xf numFmtId="0" fontId="1" fillId="5" borderId="3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7" borderId="4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3" fillId="10" borderId="5" xfId="0" applyFont="1" applyFill="1" applyBorder="1" applyAlignment="1">
      <alignment horizontal="center"/>
    </xf>
    <xf numFmtId="0" fontId="4" fillId="6" borderId="6" xfId="0" applyFont="1" applyFill="1" applyBorder="1" applyAlignment="1">
      <alignment horizontal="center"/>
    </xf>
    <xf numFmtId="0" fontId="1" fillId="7" borderId="6" xfId="0" applyFont="1" applyFill="1" applyBorder="1" applyAlignment="1">
      <alignment horizontal="center"/>
    </xf>
    <xf numFmtId="165" fontId="0" fillId="0" borderId="6" xfId="0" applyNumberFormat="1" applyBorder="1" applyAlignment="1">
      <alignment horizontal="center"/>
    </xf>
    <xf numFmtId="0" fontId="4" fillId="8" borderId="6" xfId="0" applyFont="1" applyFill="1" applyBorder="1" applyAlignment="1">
      <alignment horizontal="center"/>
    </xf>
    <xf numFmtId="0" fontId="4" fillId="9" borderId="6" xfId="0" applyFont="1" applyFill="1" applyBorder="1" applyAlignment="1">
      <alignment horizontal="center"/>
    </xf>
    <xf numFmtId="165" fontId="0" fillId="0" borderId="6" xfId="0" applyNumberFormat="1" applyBorder="1"/>
    <xf numFmtId="165" fontId="0" fillId="0" borderId="4" xfId="0" applyNumberFormat="1" applyBorder="1"/>
    <xf numFmtId="0" fontId="1" fillId="6" borderId="6" xfId="0" applyFont="1" applyFill="1" applyBorder="1" applyAlignment="1">
      <alignment horizontal="center"/>
    </xf>
    <xf numFmtId="165" fontId="0" fillId="0" borderId="0" xfId="0" applyNumberFormat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4" fillId="6" borderId="4" xfId="0" applyFont="1" applyFill="1" applyBorder="1" applyAlignment="1">
      <alignment horizontal="center"/>
    </xf>
    <xf numFmtId="165" fontId="0" fillId="0" borderId="4" xfId="0" applyNumberFormat="1" applyBorder="1" applyAlignment="1">
      <alignment horizontal="center"/>
    </xf>
    <xf numFmtId="0" fontId="1" fillId="5" borderId="8" xfId="0" applyFont="1" applyFill="1" applyBorder="1" applyAlignment="1">
      <alignment horizontal="center"/>
    </xf>
    <xf numFmtId="0" fontId="1" fillId="5" borderId="9" xfId="0" applyFont="1" applyFill="1" applyBorder="1" applyAlignment="1">
      <alignment horizontal="center"/>
    </xf>
    <xf numFmtId="0" fontId="1" fillId="5" borderId="10" xfId="0" applyFont="1" applyFill="1" applyBorder="1" applyAlignment="1">
      <alignment horizontal="center"/>
    </xf>
    <xf numFmtId="168" fontId="0" fillId="0" borderId="4" xfId="0" applyNumberFormat="1" applyBorder="1" applyAlignment="1">
      <alignment horizontal="center"/>
    </xf>
    <xf numFmtId="168" fontId="0" fillId="0" borderId="0" xfId="0" applyNumberFormat="1" applyAlignment="1">
      <alignment horizontal="center"/>
    </xf>
    <xf numFmtId="0" fontId="1" fillId="5" borderId="11" xfId="0" applyFont="1" applyFill="1" applyBorder="1" applyAlignment="1">
      <alignment horizontal="center"/>
    </xf>
    <xf numFmtId="0" fontId="0" fillId="0" borderId="4" xfId="0" applyBorder="1"/>
    <xf numFmtId="0" fontId="0" fillId="0" borderId="6" xfId="0" applyBorder="1"/>
    <xf numFmtId="0" fontId="4" fillId="8" borderId="4" xfId="0" applyFont="1" applyFill="1" applyBorder="1" applyAlignment="1">
      <alignment horizontal="center"/>
    </xf>
    <xf numFmtId="0" fontId="4" fillId="9" borderId="4" xfId="0" applyFont="1" applyFill="1" applyBorder="1" applyAlignment="1">
      <alignment horizontal="center"/>
    </xf>
    <xf numFmtId="0" fontId="1" fillId="10" borderId="8" xfId="0" applyFont="1" applyFill="1" applyBorder="1" applyAlignment="1">
      <alignment horizontal="center"/>
    </xf>
    <xf numFmtId="0" fontId="1" fillId="10" borderId="10" xfId="0" applyFont="1" applyFill="1" applyBorder="1" applyAlignment="1">
      <alignment horizontal="center"/>
    </xf>
    <xf numFmtId="0" fontId="0" fillId="10" borderId="12" xfId="0" applyFill="1" applyBorder="1"/>
    <xf numFmtId="0" fontId="0" fillId="10" borderId="13" xfId="0" applyFill="1" applyBorder="1"/>
    <xf numFmtId="0" fontId="0" fillId="10" borderId="14" xfId="0" applyFill="1" applyBorder="1"/>
    <xf numFmtId="0" fontId="5" fillId="0" borderId="0" xfId="0" applyFont="1"/>
    <xf numFmtId="0" fontId="1" fillId="2" borderId="1" xfId="0" applyFont="1" applyFill="1" applyBorder="1" applyAlignment="1">
      <alignment horizontal="center"/>
    </xf>
    <xf numFmtId="165" fontId="1" fillId="2" borderId="1" xfId="0" applyNumberFormat="1" applyFont="1" applyFill="1" applyBorder="1" applyAlignment="1">
      <alignment horizontal="center"/>
    </xf>
    <xf numFmtId="0" fontId="1" fillId="11" borderId="0" xfId="0" applyFont="1" applyFill="1" applyAlignment="1">
      <alignment horizontal="center"/>
    </xf>
    <xf numFmtId="0" fontId="0" fillId="0" borderId="0" xfId="0" applyAlignment="1">
      <alignment horizontal="left"/>
    </xf>
    <xf numFmtId="0" fontId="1" fillId="12" borderId="0" xfId="0" applyFont="1" applyFill="1" applyAlignment="1">
      <alignment horizontal="center"/>
    </xf>
    <xf numFmtId="0" fontId="1" fillId="13" borderId="0" xfId="0" applyFont="1" applyFill="1" applyAlignment="1">
      <alignment horizontal="center"/>
    </xf>
    <xf numFmtId="0" fontId="1" fillId="14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" fillId="15" borderId="0" xfId="0" applyFont="1" applyFill="1" applyAlignment="1">
      <alignment horizontal="center"/>
    </xf>
    <xf numFmtId="0" fontId="1" fillId="16" borderId="0" xfId="0" applyFont="1" applyFill="1" applyAlignment="1">
      <alignment horizontal="center"/>
    </xf>
    <xf numFmtId="0" fontId="1" fillId="17" borderId="0" xfId="0" applyFont="1" applyFill="1" applyAlignment="1">
      <alignment horizontal="center"/>
    </xf>
    <xf numFmtId="0" fontId="0" fillId="0" borderId="2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1" fillId="2" borderId="20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1" fillId="2" borderId="21" xfId="0" applyFont="1" applyFill="1" applyBorder="1" applyAlignment="1">
      <alignment horizontal="center"/>
    </xf>
    <xf numFmtId="1" fontId="0" fillId="0" borderId="15" xfId="0" applyNumberFormat="1" applyBorder="1"/>
    <xf numFmtId="1" fontId="0" fillId="0" borderId="23" xfId="0" applyNumberFormat="1" applyBorder="1"/>
    <xf numFmtId="1" fontId="0" fillId="0" borderId="16" xfId="0" applyNumberFormat="1" applyBorder="1"/>
    <xf numFmtId="1" fontId="0" fillId="0" borderId="2" xfId="0" applyNumberFormat="1" applyBorder="1"/>
    <xf numFmtId="1" fontId="0" fillId="0" borderId="0" xfId="0" applyNumberFormat="1" applyBorder="1"/>
    <xf numFmtId="1" fontId="0" fillId="0" borderId="17" xfId="0" applyNumberFormat="1" applyBorder="1"/>
    <xf numFmtId="1" fontId="0" fillId="0" borderId="18" xfId="0" applyNumberFormat="1" applyBorder="1"/>
    <xf numFmtId="1" fontId="0" fillId="0" borderId="24" xfId="0" applyNumberFormat="1" applyBorder="1"/>
    <xf numFmtId="1" fontId="0" fillId="0" borderId="19" xfId="0" applyNumberFormat="1" applyBorder="1"/>
    <xf numFmtId="0" fontId="0" fillId="0" borderId="0" xfId="0" applyBorder="1"/>
    <xf numFmtId="0" fontId="0" fillId="0" borderId="24" xfId="0" applyBorder="1"/>
    <xf numFmtId="2" fontId="0" fillId="0" borderId="0" xfId="0" applyNumberFormat="1" applyBorder="1"/>
    <xf numFmtId="2" fontId="0" fillId="0" borderId="17" xfId="0" applyNumberFormat="1" applyBorder="1"/>
    <xf numFmtId="2" fontId="0" fillId="0" borderId="24" xfId="0" applyNumberFormat="1" applyBorder="1"/>
    <xf numFmtId="2" fontId="0" fillId="0" borderId="19" xfId="0" applyNumberFormat="1" applyBorder="1"/>
    <xf numFmtId="0" fontId="1" fillId="3" borderId="20" xfId="0" applyFont="1" applyFill="1" applyBorder="1" applyAlignment="1">
      <alignment horizontal="center"/>
    </xf>
    <xf numFmtId="0" fontId="1" fillId="3" borderId="22" xfId="0" applyFont="1" applyFill="1" applyBorder="1" applyAlignment="1">
      <alignment horizontal="center"/>
    </xf>
    <xf numFmtId="0" fontId="1" fillId="3" borderId="21" xfId="0" applyFont="1" applyFill="1" applyBorder="1" applyAlignment="1">
      <alignment horizontal="center"/>
    </xf>
    <xf numFmtId="0" fontId="0" fillId="3" borderId="20" xfId="0" applyFill="1" applyBorder="1" applyAlignment="1">
      <alignment horizontal="center"/>
    </xf>
    <xf numFmtId="0" fontId="0" fillId="3" borderId="22" xfId="0" applyFill="1" applyBorder="1" applyAlignment="1">
      <alignment horizontal="center"/>
    </xf>
    <xf numFmtId="0" fontId="0" fillId="3" borderId="21" xfId="0" applyFill="1" applyBorder="1" applyAlignment="1">
      <alignment horizontal="center"/>
    </xf>
    <xf numFmtId="0" fontId="1" fillId="3" borderId="25" xfId="0" applyNumberFormat="1" applyFont="1" applyFill="1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165" fontId="0" fillId="0" borderId="17" xfId="0" applyNumberFormat="1" applyBorder="1"/>
    <xf numFmtId="0" fontId="1" fillId="0" borderId="18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164" fontId="0" fillId="0" borderId="0" xfId="0" applyNumberFormat="1" applyAlignment="1"/>
    <xf numFmtId="0" fontId="1" fillId="3" borderId="25" xfId="0" applyFont="1" applyFill="1" applyBorder="1" applyAlignment="1">
      <alignment horizontal="center"/>
    </xf>
    <xf numFmtId="164" fontId="0" fillId="0" borderId="17" xfId="0" applyNumberFormat="1" applyBorder="1" applyAlignment="1"/>
    <xf numFmtId="0" fontId="0" fillId="0" borderId="2" xfId="0" applyBorder="1" applyAlignment="1"/>
    <xf numFmtId="0" fontId="0" fillId="0" borderId="18" xfId="0" applyBorder="1" applyAlignment="1"/>
    <xf numFmtId="164" fontId="0" fillId="0" borderId="19" xfId="0" applyNumberFormat="1" applyBorder="1" applyAlignment="1"/>
    <xf numFmtId="0" fontId="2" fillId="0" borderId="2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166" fontId="0" fillId="0" borderId="0" xfId="0" applyNumberFormat="1" applyBorder="1"/>
    <xf numFmtId="166" fontId="0" fillId="0" borderId="17" xfId="0" applyNumberFormat="1" applyBorder="1"/>
    <xf numFmtId="166" fontId="0" fillId="0" borderId="24" xfId="0" applyNumberFormat="1" applyBorder="1"/>
    <xf numFmtId="166" fontId="0" fillId="0" borderId="19" xfId="0" applyNumberFormat="1" applyBorder="1"/>
    <xf numFmtId="0" fontId="1" fillId="4" borderId="20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167" fontId="0" fillId="0" borderId="17" xfId="0" applyNumberFormat="1" applyBorder="1"/>
    <xf numFmtId="167" fontId="0" fillId="0" borderId="19" xfId="0" applyNumberFormat="1" applyBorder="1"/>
    <xf numFmtId="164" fontId="0" fillId="0" borderId="17" xfId="0" applyNumberFormat="1" applyBorder="1"/>
    <xf numFmtId="164" fontId="0" fillId="0" borderId="19" xfId="0" applyNumberFormat="1" applyBorder="1"/>
    <xf numFmtId="0" fontId="1" fillId="4" borderId="28" xfId="0" applyFont="1" applyFill="1" applyBorder="1" applyAlignment="1">
      <alignment horizontal="center"/>
    </xf>
    <xf numFmtId="168" fontId="0" fillId="0" borderId="17" xfId="0" applyNumberFormat="1" applyBorder="1"/>
    <xf numFmtId="168" fontId="0" fillId="0" borderId="19" xfId="0" applyNumberFormat="1" applyBorder="1"/>
    <xf numFmtId="166" fontId="6" fillId="0" borderId="17" xfId="0" applyNumberFormat="1" applyFont="1" applyBorder="1"/>
  </cellXfs>
  <cellStyles count="1">
    <cellStyle name="Normale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8FAADC"/>
      <rgbColor rgb="FF993366"/>
      <rgbColor rgb="FFF7D1D5"/>
      <rgbColor rgb="FFDAE3F3"/>
      <rgbColor rgb="FF660066"/>
      <rgbColor rgb="FFEC9BA4"/>
      <rgbColor rgb="FF0066CC"/>
      <rgbColor rgb="FFB4C7E7"/>
      <rgbColor rgb="FF000080"/>
      <rgbColor rgb="FFFF00FF"/>
      <rgbColor rgb="FFE6E905"/>
      <rgbColor rgb="FF00FFFF"/>
      <rgbColor rgb="FF800080"/>
      <rgbColor rgb="FF800000"/>
      <rgbColor rgb="FF008080"/>
      <rgbColor rgb="FF0000FF"/>
      <rgbColor rgb="FF00CCFF"/>
      <rgbColor rgb="FFC5E0B4"/>
      <rgbColor rgb="FFE2F0D9"/>
      <rgbColor rgb="FFFFFF99"/>
      <rgbColor rgb="FF92D050"/>
      <rgbColor rgb="FFFFA6A6"/>
      <rgbColor rgb="FFCC99FF"/>
      <rgbColor rgb="FFF8CBAD"/>
      <rgbColor rgb="FF3366FF"/>
      <rgbColor rgb="FF33CCCC"/>
      <rgbColor rgb="FF81D41A"/>
      <rgbColor rgb="FFF4B183"/>
      <rgbColor rgb="FFFF8000"/>
      <rgbColor rgb="FFFF6600"/>
      <rgbColor rgb="FF666699"/>
      <rgbColor rgb="FF729FCF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86"/>
  <sheetViews>
    <sheetView tabSelected="1" topLeftCell="A25" zoomScaleNormal="100" workbookViewId="0">
      <selection activeCell="AB7" sqref="AB7"/>
    </sheetView>
  </sheetViews>
  <sheetFormatPr defaultColWidth="9.140625" defaultRowHeight="15" x14ac:dyDescent="0.25"/>
  <cols>
    <col min="1" max="1" width="8.42578125" customWidth="1"/>
    <col min="2" max="2" width="10.42578125" customWidth="1"/>
    <col min="3" max="3" width="10.140625" customWidth="1"/>
    <col min="4" max="4" width="9.28515625" customWidth="1"/>
    <col min="5" max="5" width="10.28515625" customWidth="1"/>
    <col min="6" max="6" width="10.140625" customWidth="1"/>
    <col min="16" max="16" width="16.5703125" customWidth="1"/>
  </cols>
  <sheetData>
    <row r="1" spans="1:27" x14ac:dyDescent="0.25">
      <c r="A1" s="63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5"/>
      <c r="O1" s="63" t="s">
        <v>1</v>
      </c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5"/>
    </row>
    <row r="2" spans="1:27" x14ac:dyDescent="0.25">
      <c r="A2" s="60" t="s">
        <v>2</v>
      </c>
      <c r="B2" s="61" t="s">
        <v>3</v>
      </c>
      <c r="C2" s="62" t="s">
        <v>4</v>
      </c>
      <c r="D2" s="62" t="s">
        <v>5</v>
      </c>
      <c r="E2" s="62" t="s">
        <v>6</v>
      </c>
      <c r="F2" s="62" t="s">
        <v>7</v>
      </c>
      <c r="G2" s="62" t="s">
        <v>8</v>
      </c>
      <c r="H2" s="62" t="s">
        <v>9</v>
      </c>
      <c r="I2" s="62" t="s">
        <v>10</v>
      </c>
      <c r="J2" s="62" t="s">
        <v>11</v>
      </c>
      <c r="K2" s="62" t="s">
        <v>12</v>
      </c>
      <c r="L2" s="62" t="s">
        <v>13</v>
      </c>
      <c r="M2" s="61" t="s">
        <v>14</v>
      </c>
      <c r="O2" s="60" t="s">
        <v>2</v>
      </c>
      <c r="P2" s="61" t="s">
        <v>15</v>
      </c>
      <c r="Q2" s="62" t="s">
        <v>4</v>
      </c>
      <c r="R2" s="62" t="s">
        <v>5</v>
      </c>
      <c r="S2" s="62" t="s">
        <v>6</v>
      </c>
      <c r="T2" s="62" t="s">
        <v>7</v>
      </c>
      <c r="U2" s="62" t="s">
        <v>8</v>
      </c>
      <c r="V2" s="62" t="s">
        <v>9</v>
      </c>
      <c r="W2" s="62" t="s">
        <v>10</v>
      </c>
      <c r="X2" s="62" t="s">
        <v>11</v>
      </c>
      <c r="Y2" s="62" t="s">
        <v>12</v>
      </c>
      <c r="Z2" s="62" t="s">
        <v>13</v>
      </c>
      <c r="AA2" s="61" t="s">
        <v>14</v>
      </c>
    </row>
    <row r="3" spans="1:27" x14ac:dyDescent="0.25">
      <c r="A3" s="56" t="s">
        <v>16</v>
      </c>
      <c r="B3" s="57" t="s">
        <v>17</v>
      </c>
      <c r="C3" s="66">
        <v>41100</v>
      </c>
      <c r="D3" s="67">
        <v>38801</v>
      </c>
      <c r="E3" s="67">
        <v>35592</v>
      </c>
      <c r="F3" s="67">
        <v>35417</v>
      </c>
      <c r="G3" s="67">
        <v>35033</v>
      </c>
      <c r="H3" s="67">
        <v>36154</v>
      </c>
      <c r="I3" s="67">
        <v>36393</v>
      </c>
      <c r="J3" s="67">
        <v>34831</v>
      </c>
      <c r="K3" s="67">
        <v>33560</v>
      </c>
      <c r="L3" s="67">
        <v>34400</v>
      </c>
      <c r="M3" s="68">
        <v>33646</v>
      </c>
      <c r="O3" s="56" t="s">
        <v>16</v>
      </c>
      <c r="P3" s="57" t="s">
        <v>18</v>
      </c>
      <c r="Q3" s="66">
        <v>18018</v>
      </c>
      <c r="R3" s="67">
        <v>16310</v>
      </c>
      <c r="S3" s="67">
        <v>15212</v>
      </c>
      <c r="T3" s="67">
        <v>14745</v>
      </c>
      <c r="U3" s="67">
        <v>13878</v>
      </c>
      <c r="V3" s="67">
        <v>13302</v>
      </c>
      <c r="W3" s="67">
        <v>13282</v>
      </c>
      <c r="X3" s="67">
        <v>13040</v>
      </c>
      <c r="Y3" s="67">
        <v>13207</v>
      </c>
      <c r="Z3" s="67">
        <v>13519</v>
      </c>
      <c r="AA3" s="68">
        <v>13636</v>
      </c>
    </row>
    <row r="4" spans="1:27" x14ac:dyDescent="0.25">
      <c r="A4" s="56"/>
      <c r="B4" s="57" t="s">
        <v>19</v>
      </c>
      <c r="C4" s="69">
        <v>41</v>
      </c>
      <c r="D4" s="70">
        <v>37</v>
      </c>
      <c r="E4" s="70">
        <v>19</v>
      </c>
      <c r="F4" s="70">
        <v>45</v>
      </c>
      <c r="G4" s="70">
        <v>46</v>
      </c>
      <c r="H4" s="70">
        <v>36</v>
      </c>
      <c r="I4" s="70">
        <v>29</v>
      </c>
      <c r="J4" s="70">
        <v>28</v>
      </c>
      <c r="K4" s="70">
        <v>29</v>
      </c>
      <c r="L4" s="70">
        <v>34</v>
      </c>
      <c r="M4" s="71">
        <v>35</v>
      </c>
      <c r="O4" s="56"/>
      <c r="P4" s="57" t="s">
        <v>20</v>
      </c>
      <c r="Q4" s="69">
        <v>11152</v>
      </c>
      <c r="R4" s="70">
        <v>9867</v>
      </c>
      <c r="S4" s="70">
        <v>9401</v>
      </c>
      <c r="T4" s="70">
        <v>9116</v>
      </c>
      <c r="U4" s="70">
        <v>8250</v>
      </c>
      <c r="V4" s="70">
        <v>7763</v>
      </c>
      <c r="W4" s="70">
        <v>7548</v>
      </c>
      <c r="X4" s="70">
        <v>7421</v>
      </c>
      <c r="Y4" s="70">
        <v>7434</v>
      </c>
      <c r="Z4" s="70">
        <v>7241</v>
      </c>
      <c r="AA4" s="71">
        <v>7248</v>
      </c>
    </row>
    <row r="5" spans="1:27" x14ac:dyDescent="0.25">
      <c r="A5" s="56"/>
      <c r="B5" s="57" t="s">
        <v>21</v>
      </c>
      <c r="C5" s="69">
        <v>31145</v>
      </c>
      <c r="D5" s="70">
        <v>29735</v>
      </c>
      <c r="E5" s="70">
        <v>27913</v>
      </c>
      <c r="F5" s="70">
        <v>27644</v>
      </c>
      <c r="G5" s="70">
        <v>26395</v>
      </c>
      <c r="H5" s="70">
        <v>25197</v>
      </c>
      <c r="I5" s="70">
        <v>25120</v>
      </c>
      <c r="J5" s="70">
        <v>24125</v>
      </c>
      <c r="K5" s="70">
        <v>23502</v>
      </c>
      <c r="L5" s="70">
        <v>24367</v>
      </c>
      <c r="M5" s="71">
        <v>24299</v>
      </c>
      <c r="O5" s="56"/>
      <c r="P5" s="57" t="s">
        <v>22</v>
      </c>
      <c r="Q5" s="69">
        <v>6866</v>
      </c>
      <c r="R5" s="70">
        <v>6443</v>
      </c>
      <c r="S5" s="70">
        <v>5811</v>
      </c>
      <c r="T5" s="70">
        <v>5629</v>
      </c>
      <c r="U5" s="70">
        <v>5628</v>
      </c>
      <c r="V5" s="70">
        <v>5539</v>
      </c>
      <c r="W5" s="70">
        <v>5734</v>
      </c>
      <c r="X5" s="70">
        <v>5619</v>
      </c>
      <c r="Y5" s="70">
        <v>5773</v>
      </c>
      <c r="Z5" s="70">
        <v>6278</v>
      </c>
      <c r="AA5" s="71">
        <v>6388</v>
      </c>
    </row>
    <row r="6" spans="1:27" x14ac:dyDescent="0.25">
      <c r="A6" s="56"/>
      <c r="B6" s="57" t="s">
        <v>23</v>
      </c>
      <c r="C6" s="69">
        <v>10345</v>
      </c>
      <c r="D6" s="70">
        <v>9391</v>
      </c>
      <c r="E6" s="70">
        <v>7967</v>
      </c>
      <c r="F6" s="70">
        <v>8074</v>
      </c>
      <c r="G6" s="70">
        <v>8938</v>
      </c>
      <c r="H6" s="70">
        <v>11390</v>
      </c>
      <c r="I6" s="70">
        <v>11725</v>
      </c>
      <c r="J6" s="70">
        <v>11107</v>
      </c>
      <c r="K6" s="70">
        <v>10405</v>
      </c>
      <c r="L6" s="70">
        <v>10365</v>
      </c>
      <c r="M6" s="71">
        <v>9726</v>
      </c>
      <c r="O6" s="56" t="s">
        <v>24</v>
      </c>
      <c r="P6" s="57" t="s">
        <v>18</v>
      </c>
      <c r="Q6" s="69">
        <v>9625</v>
      </c>
      <c r="R6" s="70">
        <v>8673</v>
      </c>
      <c r="S6" s="70">
        <v>8159</v>
      </c>
      <c r="T6" s="70">
        <v>7956</v>
      </c>
      <c r="U6" s="70">
        <v>7513</v>
      </c>
      <c r="V6" s="70">
        <v>7156</v>
      </c>
      <c r="W6" s="70">
        <v>7211</v>
      </c>
      <c r="X6" s="70">
        <v>7064</v>
      </c>
      <c r="Y6" s="70">
        <v>7244</v>
      </c>
      <c r="Z6" s="70">
        <v>7431</v>
      </c>
      <c r="AA6" s="71">
        <v>7653</v>
      </c>
    </row>
    <row r="7" spans="1:27" x14ac:dyDescent="0.25">
      <c r="A7" s="56" t="s">
        <v>24</v>
      </c>
      <c r="B7" s="57" t="s">
        <v>17</v>
      </c>
      <c r="C7" s="69">
        <v>20140</v>
      </c>
      <c r="D7" s="70">
        <v>18962</v>
      </c>
      <c r="E7" s="70">
        <v>17205</v>
      </c>
      <c r="F7" s="70">
        <v>17454</v>
      </c>
      <c r="G7" s="70">
        <v>16980</v>
      </c>
      <c r="H7" s="70">
        <v>17581</v>
      </c>
      <c r="I7" s="70">
        <v>17643</v>
      </c>
      <c r="J7" s="70">
        <v>16975</v>
      </c>
      <c r="K7" s="70">
        <v>16237</v>
      </c>
      <c r="L7" s="70">
        <v>16668</v>
      </c>
      <c r="M7" s="71">
        <v>16325</v>
      </c>
      <c r="O7" s="56"/>
      <c r="P7" s="57" t="s">
        <v>20</v>
      </c>
      <c r="Q7" s="69">
        <v>5322</v>
      </c>
      <c r="R7" s="70">
        <v>4665</v>
      </c>
      <c r="S7" s="70">
        <v>4504</v>
      </c>
      <c r="T7" s="70">
        <v>4363</v>
      </c>
      <c r="U7" s="70">
        <v>3977</v>
      </c>
      <c r="V7" s="70">
        <v>3683</v>
      </c>
      <c r="W7" s="70">
        <v>3614</v>
      </c>
      <c r="X7" s="70">
        <v>3463</v>
      </c>
      <c r="Y7" s="70">
        <v>3566</v>
      </c>
      <c r="Z7" s="70">
        <v>3449</v>
      </c>
      <c r="AA7" s="71">
        <v>3458</v>
      </c>
    </row>
    <row r="8" spans="1:27" x14ac:dyDescent="0.25">
      <c r="A8" s="56"/>
      <c r="B8" s="57" t="s">
        <v>19</v>
      </c>
      <c r="C8" s="69">
        <v>19</v>
      </c>
      <c r="D8" s="70">
        <v>17</v>
      </c>
      <c r="E8" s="70">
        <v>10</v>
      </c>
      <c r="F8" s="70">
        <v>23</v>
      </c>
      <c r="G8" s="70">
        <v>31</v>
      </c>
      <c r="H8" s="70">
        <v>14</v>
      </c>
      <c r="I8" s="70">
        <v>13</v>
      </c>
      <c r="J8" s="70">
        <v>20</v>
      </c>
      <c r="K8" s="70">
        <v>16</v>
      </c>
      <c r="L8" s="70">
        <v>16</v>
      </c>
      <c r="M8" s="71">
        <v>15</v>
      </c>
      <c r="O8" s="56"/>
      <c r="P8" s="57" t="s">
        <v>22</v>
      </c>
      <c r="Q8" s="69">
        <v>4303</v>
      </c>
      <c r="R8" s="70">
        <v>4008</v>
      </c>
      <c r="S8" s="70">
        <v>3655</v>
      </c>
      <c r="T8" s="70">
        <v>3593</v>
      </c>
      <c r="U8" s="70">
        <v>3536</v>
      </c>
      <c r="V8" s="70">
        <v>3473</v>
      </c>
      <c r="W8" s="70">
        <v>3597</v>
      </c>
      <c r="X8" s="70">
        <v>3601</v>
      </c>
      <c r="Y8" s="70">
        <v>3678</v>
      </c>
      <c r="Z8" s="70">
        <v>3982</v>
      </c>
      <c r="AA8" s="71">
        <v>4195</v>
      </c>
    </row>
    <row r="9" spans="1:27" x14ac:dyDescent="0.25">
      <c r="A9" s="56"/>
      <c r="B9" s="57" t="s">
        <v>21</v>
      </c>
      <c r="C9" s="69">
        <v>15382</v>
      </c>
      <c r="D9" s="70">
        <v>14662</v>
      </c>
      <c r="E9" s="70">
        <v>13658</v>
      </c>
      <c r="F9" s="70">
        <v>13652</v>
      </c>
      <c r="G9" s="70">
        <v>12810</v>
      </c>
      <c r="H9" s="70">
        <v>12356</v>
      </c>
      <c r="I9" s="70">
        <v>12164</v>
      </c>
      <c r="J9" s="70">
        <v>11814</v>
      </c>
      <c r="K9" s="70">
        <v>11454</v>
      </c>
      <c r="L9" s="70">
        <v>11807</v>
      </c>
      <c r="M9" s="71">
        <v>11751</v>
      </c>
      <c r="O9" s="56" t="s">
        <v>25</v>
      </c>
      <c r="P9" s="57" t="s">
        <v>18</v>
      </c>
      <c r="Q9" s="69">
        <v>6016</v>
      </c>
      <c r="R9" s="70">
        <v>5440</v>
      </c>
      <c r="S9" s="70">
        <v>5139</v>
      </c>
      <c r="T9" s="70">
        <v>4934</v>
      </c>
      <c r="U9" s="70">
        <v>4597</v>
      </c>
      <c r="V9" s="70">
        <v>4399</v>
      </c>
      <c r="W9" s="70">
        <v>4392</v>
      </c>
      <c r="X9" s="70">
        <v>4282</v>
      </c>
      <c r="Y9" s="70">
        <v>4257</v>
      </c>
      <c r="Z9" s="70">
        <v>4328</v>
      </c>
      <c r="AA9" s="71">
        <v>4360</v>
      </c>
    </row>
    <row r="10" spans="1:27" x14ac:dyDescent="0.25">
      <c r="A10" s="56"/>
      <c r="B10" s="57" t="s">
        <v>23</v>
      </c>
      <c r="C10" s="69">
        <v>4937</v>
      </c>
      <c r="D10" s="70">
        <v>4464</v>
      </c>
      <c r="E10" s="70">
        <v>3681</v>
      </c>
      <c r="F10" s="70">
        <v>3963</v>
      </c>
      <c r="G10" s="70">
        <v>4311</v>
      </c>
      <c r="H10" s="70">
        <v>5434</v>
      </c>
      <c r="I10" s="70">
        <v>5680</v>
      </c>
      <c r="J10" s="70">
        <v>5334</v>
      </c>
      <c r="K10" s="70">
        <v>4945</v>
      </c>
      <c r="L10" s="70">
        <v>5031</v>
      </c>
      <c r="M10" s="71">
        <v>4759</v>
      </c>
      <c r="O10" s="56"/>
      <c r="P10" s="57" t="s">
        <v>20</v>
      </c>
      <c r="Q10" s="69">
        <v>4127</v>
      </c>
      <c r="R10" s="70">
        <v>3635</v>
      </c>
      <c r="S10" s="70">
        <v>3516</v>
      </c>
      <c r="T10" s="70">
        <v>3403</v>
      </c>
      <c r="U10" s="70">
        <v>3020</v>
      </c>
      <c r="V10" s="70">
        <v>2882</v>
      </c>
      <c r="W10" s="70">
        <v>2815</v>
      </c>
      <c r="X10" s="70">
        <v>2766</v>
      </c>
      <c r="Y10" s="70">
        <v>2715</v>
      </c>
      <c r="Z10" s="70">
        <v>2638</v>
      </c>
      <c r="AA10" s="71">
        <v>2722</v>
      </c>
    </row>
    <row r="11" spans="1:27" x14ac:dyDescent="0.25">
      <c r="A11" s="56" t="s">
        <v>25</v>
      </c>
      <c r="B11" s="57" t="s">
        <v>17</v>
      </c>
      <c r="C11" s="69">
        <v>13308</v>
      </c>
      <c r="D11" s="70">
        <v>12483</v>
      </c>
      <c r="E11" s="70">
        <v>11709</v>
      </c>
      <c r="F11" s="70">
        <v>11496</v>
      </c>
      <c r="G11" s="70">
        <v>11479</v>
      </c>
      <c r="H11" s="70">
        <v>11808</v>
      </c>
      <c r="I11" s="70">
        <v>11907</v>
      </c>
      <c r="J11" s="70">
        <v>11429</v>
      </c>
      <c r="K11" s="70">
        <v>11234</v>
      </c>
      <c r="L11" s="70">
        <v>11387</v>
      </c>
      <c r="M11" s="71">
        <v>11084</v>
      </c>
      <c r="O11" s="56"/>
      <c r="P11" s="57" t="s">
        <v>22</v>
      </c>
      <c r="Q11" s="69">
        <v>1889</v>
      </c>
      <c r="R11" s="70">
        <v>1805</v>
      </c>
      <c r="S11" s="70">
        <v>1623</v>
      </c>
      <c r="T11" s="70">
        <v>1531</v>
      </c>
      <c r="U11" s="70">
        <v>1577</v>
      </c>
      <c r="V11" s="70">
        <v>1517</v>
      </c>
      <c r="W11" s="70">
        <v>1577</v>
      </c>
      <c r="X11" s="70">
        <v>1516</v>
      </c>
      <c r="Y11" s="70">
        <v>1542</v>
      </c>
      <c r="Z11" s="70">
        <v>1690</v>
      </c>
      <c r="AA11" s="71">
        <v>1638</v>
      </c>
    </row>
    <row r="12" spans="1:27" x14ac:dyDescent="0.25">
      <c r="A12" s="56"/>
      <c r="B12" s="57" t="s">
        <v>19</v>
      </c>
      <c r="C12" s="69">
        <v>10</v>
      </c>
      <c r="D12" s="70">
        <v>10</v>
      </c>
      <c r="E12" s="70">
        <v>8</v>
      </c>
      <c r="F12" s="70">
        <v>12</v>
      </c>
      <c r="G12" s="70">
        <v>8</v>
      </c>
      <c r="H12" s="70">
        <v>16</v>
      </c>
      <c r="I12" s="70">
        <v>10</v>
      </c>
      <c r="J12" s="70">
        <v>7</v>
      </c>
      <c r="K12" s="70">
        <v>7</v>
      </c>
      <c r="L12" s="70">
        <v>12</v>
      </c>
      <c r="M12" s="71">
        <v>7</v>
      </c>
      <c r="O12" s="56" t="s">
        <v>26</v>
      </c>
      <c r="P12" s="57" t="s">
        <v>18</v>
      </c>
      <c r="Q12" s="69">
        <v>1875</v>
      </c>
      <c r="R12" s="70">
        <v>1783</v>
      </c>
      <c r="S12" s="70">
        <v>1514</v>
      </c>
      <c r="T12" s="70">
        <v>1500</v>
      </c>
      <c r="U12" s="70">
        <v>1398</v>
      </c>
      <c r="V12" s="70">
        <v>1400</v>
      </c>
      <c r="W12" s="70">
        <v>1361</v>
      </c>
      <c r="X12" s="70">
        <v>1362</v>
      </c>
      <c r="Y12" s="70">
        <v>1374</v>
      </c>
      <c r="Z12" s="70">
        <v>1442</v>
      </c>
      <c r="AA12" s="71">
        <v>1349</v>
      </c>
    </row>
    <row r="13" spans="1:27" x14ac:dyDescent="0.25">
      <c r="A13" s="56"/>
      <c r="B13" s="57" t="s">
        <v>21</v>
      </c>
      <c r="C13" s="69">
        <v>9915</v>
      </c>
      <c r="D13" s="70">
        <v>9378</v>
      </c>
      <c r="E13" s="70">
        <v>9046</v>
      </c>
      <c r="F13" s="70">
        <v>8850</v>
      </c>
      <c r="G13" s="70">
        <v>8677</v>
      </c>
      <c r="H13" s="70">
        <v>8153</v>
      </c>
      <c r="I13" s="70">
        <v>8253</v>
      </c>
      <c r="J13" s="70">
        <v>7919</v>
      </c>
      <c r="K13" s="70">
        <v>7809</v>
      </c>
      <c r="L13" s="70">
        <v>8128</v>
      </c>
      <c r="M13" s="71">
        <v>8044</v>
      </c>
      <c r="O13" s="56"/>
      <c r="P13" s="57" t="s">
        <v>20</v>
      </c>
      <c r="Q13" s="69">
        <v>1313</v>
      </c>
      <c r="R13" s="70">
        <v>1221</v>
      </c>
      <c r="S13" s="70">
        <v>1058</v>
      </c>
      <c r="T13" s="70">
        <v>1072</v>
      </c>
      <c r="U13" s="70">
        <v>950</v>
      </c>
      <c r="V13" s="70">
        <v>929</v>
      </c>
      <c r="W13" s="70">
        <v>874</v>
      </c>
      <c r="X13" s="70">
        <v>935</v>
      </c>
      <c r="Y13" s="70">
        <v>889</v>
      </c>
      <c r="Z13" s="70">
        <v>896</v>
      </c>
      <c r="AA13" s="71">
        <v>850</v>
      </c>
    </row>
    <row r="14" spans="1:27" x14ac:dyDescent="0.25">
      <c r="A14" s="56"/>
      <c r="B14" s="57" t="s">
        <v>23</v>
      </c>
      <c r="C14" s="69">
        <v>3529</v>
      </c>
      <c r="D14" s="70">
        <v>3216</v>
      </c>
      <c r="E14" s="70">
        <v>2760</v>
      </c>
      <c r="F14" s="70">
        <v>2739</v>
      </c>
      <c r="G14" s="70">
        <v>2900</v>
      </c>
      <c r="H14" s="70">
        <v>3782</v>
      </c>
      <c r="I14" s="70">
        <v>3814</v>
      </c>
      <c r="J14" s="70">
        <v>3650</v>
      </c>
      <c r="K14" s="70">
        <v>3541</v>
      </c>
      <c r="L14" s="70">
        <v>3359</v>
      </c>
      <c r="M14" s="71">
        <v>3156</v>
      </c>
      <c r="O14" s="56"/>
      <c r="P14" s="57" t="s">
        <v>22</v>
      </c>
      <c r="Q14" s="69">
        <v>562</v>
      </c>
      <c r="R14" s="70">
        <v>562</v>
      </c>
      <c r="S14" s="70">
        <v>456</v>
      </c>
      <c r="T14" s="70">
        <v>428</v>
      </c>
      <c r="U14" s="70">
        <v>448</v>
      </c>
      <c r="V14" s="70">
        <v>471</v>
      </c>
      <c r="W14" s="70">
        <v>487</v>
      </c>
      <c r="X14" s="70">
        <v>427</v>
      </c>
      <c r="Y14" s="70">
        <v>485</v>
      </c>
      <c r="Z14" s="70">
        <v>546</v>
      </c>
      <c r="AA14" s="71">
        <v>499</v>
      </c>
    </row>
    <row r="15" spans="1:27" x14ac:dyDescent="0.25">
      <c r="A15" s="56" t="s">
        <v>26</v>
      </c>
      <c r="B15" s="57" t="s">
        <v>17</v>
      </c>
      <c r="C15" s="69">
        <v>6077</v>
      </c>
      <c r="D15" s="70">
        <v>5865</v>
      </c>
      <c r="E15" s="70">
        <v>5305</v>
      </c>
      <c r="F15" s="70">
        <v>5189</v>
      </c>
      <c r="G15" s="70">
        <v>5201</v>
      </c>
      <c r="H15" s="70">
        <v>5394</v>
      </c>
      <c r="I15" s="70">
        <v>5489</v>
      </c>
      <c r="J15" s="70">
        <v>5085</v>
      </c>
      <c r="K15" s="70">
        <v>4830</v>
      </c>
      <c r="L15" s="70">
        <v>4991</v>
      </c>
      <c r="M15" s="71">
        <v>4917</v>
      </c>
      <c r="O15" s="56" t="s">
        <v>27</v>
      </c>
      <c r="P15" s="57" t="s">
        <v>18</v>
      </c>
      <c r="Q15" s="69">
        <v>502</v>
      </c>
      <c r="R15" s="70">
        <v>414</v>
      </c>
      <c r="S15" s="70">
        <v>400</v>
      </c>
      <c r="T15" s="70">
        <v>355</v>
      </c>
      <c r="U15" s="70">
        <v>370</v>
      </c>
      <c r="V15" s="70">
        <v>347</v>
      </c>
      <c r="W15" s="70">
        <v>318</v>
      </c>
      <c r="X15" s="70">
        <v>332</v>
      </c>
      <c r="Y15" s="70">
        <v>332</v>
      </c>
      <c r="Z15" s="70">
        <v>318</v>
      </c>
      <c r="AA15" s="71">
        <v>274</v>
      </c>
    </row>
    <row r="16" spans="1:27" x14ac:dyDescent="0.25">
      <c r="A16" s="56"/>
      <c r="B16" s="57" t="s">
        <v>19</v>
      </c>
      <c r="C16" s="69">
        <v>10</v>
      </c>
      <c r="D16" s="70">
        <v>7</v>
      </c>
      <c r="E16" s="70">
        <v>0</v>
      </c>
      <c r="F16" s="70">
        <v>8</v>
      </c>
      <c r="G16" s="70">
        <v>5</v>
      </c>
      <c r="H16" s="70">
        <v>6</v>
      </c>
      <c r="I16" s="70">
        <v>5</v>
      </c>
      <c r="J16" s="70">
        <v>1</v>
      </c>
      <c r="K16" s="70">
        <v>3</v>
      </c>
      <c r="L16" s="70">
        <v>5</v>
      </c>
      <c r="M16" s="71">
        <v>13</v>
      </c>
      <c r="O16" s="56"/>
      <c r="P16" s="57" t="s">
        <v>20</v>
      </c>
      <c r="Q16" s="69">
        <v>390</v>
      </c>
      <c r="R16" s="70">
        <v>346</v>
      </c>
      <c r="S16" s="70">
        <v>323</v>
      </c>
      <c r="T16" s="70">
        <v>278</v>
      </c>
      <c r="U16" s="70">
        <v>303</v>
      </c>
      <c r="V16" s="70">
        <v>269</v>
      </c>
      <c r="W16" s="70">
        <v>245</v>
      </c>
      <c r="X16" s="70">
        <v>257</v>
      </c>
      <c r="Y16" s="70">
        <v>264</v>
      </c>
      <c r="Z16" s="70">
        <v>258</v>
      </c>
      <c r="AA16" s="71">
        <v>218</v>
      </c>
    </row>
    <row r="17" spans="1:27" x14ac:dyDescent="0.25">
      <c r="A17" s="56"/>
      <c r="B17" s="57" t="s">
        <v>21</v>
      </c>
      <c r="C17" s="69">
        <v>4689</v>
      </c>
      <c r="D17" s="70">
        <v>4577</v>
      </c>
      <c r="E17" s="70">
        <v>4175</v>
      </c>
      <c r="F17" s="70">
        <v>4126</v>
      </c>
      <c r="G17" s="70">
        <v>3905</v>
      </c>
      <c r="H17" s="70">
        <v>3716</v>
      </c>
      <c r="I17" s="70">
        <v>3790</v>
      </c>
      <c r="J17" s="70">
        <v>3478</v>
      </c>
      <c r="K17" s="70">
        <v>3371</v>
      </c>
      <c r="L17" s="70">
        <v>3517</v>
      </c>
      <c r="M17" s="71">
        <v>3554</v>
      </c>
      <c r="O17" s="58"/>
      <c r="P17" s="59" t="s">
        <v>22</v>
      </c>
      <c r="Q17" s="72">
        <v>112</v>
      </c>
      <c r="R17" s="73">
        <v>68</v>
      </c>
      <c r="S17" s="73">
        <v>77</v>
      </c>
      <c r="T17" s="73">
        <v>77</v>
      </c>
      <c r="U17" s="73">
        <v>67</v>
      </c>
      <c r="V17" s="73">
        <v>78</v>
      </c>
      <c r="W17" s="73">
        <v>73</v>
      </c>
      <c r="X17" s="73">
        <v>75</v>
      </c>
      <c r="Y17" s="73">
        <v>68</v>
      </c>
      <c r="Z17" s="73">
        <v>60</v>
      </c>
      <c r="AA17" s="74">
        <v>56</v>
      </c>
    </row>
    <row r="18" spans="1:27" x14ac:dyDescent="0.25">
      <c r="A18" s="56"/>
      <c r="B18" s="57" t="s">
        <v>23</v>
      </c>
      <c r="C18" s="69">
        <v>1449</v>
      </c>
      <c r="D18" s="70">
        <v>1329</v>
      </c>
      <c r="E18" s="70">
        <v>1176</v>
      </c>
      <c r="F18" s="70">
        <v>1099</v>
      </c>
      <c r="G18" s="70">
        <v>1346</v>
      </c>
      <c r="H18" s="70">
        <v>1758</v>
      </c>
      <c r="I18" s="70">
        <v>1773</v>
      </c>
      <c r="J18" s="70">
        <v>1680</v>
      </c>
      <c r="K18" s="70">
        <v>1517</v>
      </c>
      <c r="L18" s="70">
        <v>1518</v>
      </c>
      <c r="M18" s="71">
        <v>1424</v>
      </c>
    </row>
    <row r="19" spans="1:27" x14ac:dyDescent="0.25">
      <c r="A19" s="56" t="s">
        <v>27</v>
      </c>
      <c r="B19" s="57" t="s">
        <v>17</v>
      </c>
      <c r="C19" s="69">
        <v>1576</v>
      </c>
      <c r="D19" s="70">
        <v>1491</v>
      </c>
      <c r="E19" s="70">
        <v>1374</v>
      </c>
      <c r="F19" s="70">
        <v>1279</v>
      </c>
      <c r="G19" s="70">
        <v>1374</v>
      </c>
      <c r="H19" s="70">
        <v>1371</v>
      </c>
      <c r="I19" s="70">
        <v>1355</v>
      </c>
      <c r="J19" s="70">
        <v>1343</v>
      </c>
      <c r="K19" s="70">
        <v>1260</v>
      </c>
      <c r="L19" s="70">
        <v>1354</v>
      </c>
      <c r="M19" s="71">
        <v>1323</v>
      </c>
    </row>
    <row r="20" spans="1:27" x14ac:dyDescent="0.25">
      <c r="A20" s="56"/>
      <c r="B20" s="57" t="s">
        <v>19</v>
      </c>
      <c r="C20" s="69">
        <v>2</v>
      </c>
      <c r="D20" s="70">
        <v>3</v>
      </c>
      <c r="E20" s="70">
        <v>1</v>
      </c>
      <c r="F20" s="70">
        <v>2</v>
      </c>
      <c r="G20" s="70">
        <v>2</v>
      </c>
      <c r="H20" s="70">
        <v>0</v>
      </c>
      <c r="I20" s="70">
        <v>1</v>
      </c>
      <c r="J20" s="70">
        <v>0</v>
      </c>
      <c r="K20" s="70">
        <v>3</v>
      </c>
      <c r="L20" s="70">
        <v>1</v>
      </c>
      <c r="M20" s="71">
        <v>0</v>
      </c>
    </row>
    <row r="21" spans="1:27" x14ac:dyDescent="0.25">
      <c r="A21" s="56"/>
      <c r="B21" s="57" t="s">
        <v>21</v>
      </c>
      <c r="C21" s="69">
        <v>1160</v>
      </c>
      <c r="D21" s="70">
        <v>1118</v>
      </c>
      <c r="E21" s="70">
        <v>1035</v>
      </c>
      <c r="F21" s="70">
        <v>1017</v>
      </c>
      <c r="G21" s="70">
        <v>1004</v>
      </c>
      <c r="H21" s="70">
        <v>973</v>
      </c>
      <c r="I21" s="70">
        <v>914</v>
      </c>
      <c r="J21" s="70">
        <v>915</v>
      </c>
      <c r="K21" s="70">
        <v>869</v>
      </c>
      <c r="L21" s="70">
        <v>915</v>
      </c>
      <c r="M21" s="71">
        <v>952</v>
      </c>
    </row>
    <row r="22" spans="1:27" x14ac:dyDescent="0.25">
      <c r="A22" s="58"/>
      <c r="B22" s="59" t="s">
        <v>23</v>
      </c>
      <c r="C22" s="72">
        <v>430</v>
      </c>
      <c r="D22" s="73">
        <v>382</v>
      </c>
      <c r="E22" s="73">
        <v>350</v>
      </c>
      <c r="F22" s="73">
        <v>273</v>
      </c>
      <c r="G22" s="73">
        <v>381</v>
      </c>
      <c r="H22" s="73">
        <v>416</v>
      </c>
      <c r="I22" s="73">
        <v>458</v>
      </c>
      <c r="J22" s="73">
        <v>443</v>
      </c>
      <c r="K22" s="73">
        <v>402</v>
      </c>
      <c r="L22" s="73">
        <v>457</v>
      </c>
      <c r="M22" s="74">
        <v>388</v>
      </c>
    </row>
    <row r="23" spans="1:27" x14ac:dyDescent="0.25">
      <c r="I23" s="5"/>
      <c r="J23" s="5"/>
      <c r="K23" s="5"/>
      <c r="L23" s="5"/>
      <c r="M23" s="5"/>
    </row>
    <row r="24" spans="1:27" x14ac:dyDescent="0.25">
      <c r="A24" s="63" t="s">
        <v>28</v>
      </c>
      <c r="B24" s="64"/>
      <c r="C24" s="64"/>
      <c r="D24" s="64"/>
      <c r="E24" s="64"/>
      <c r="F24" s="64"/>
      <c r="G24" s="64"/>
      <c r="H24" s="64"/>
      <c r="I24" s="64"/>
      <c r="J24" s="64"/>
      <c r="K24" s="64"/>
      <c r="L24" s="64"/>
      <c r="M24" s="65"/>
      <c r="O24" s="63" t="s">
        <v>29</v>
      </c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5"/>
    </row>
    <row r="25" spans="1:27" x14ac:dyDescent="0.25">
      <c r="A25" s="60" t="s">
        <v>2</v>
      </c>
      <c r="B25" s="61" t="s">
        <v>30</v>
      </c>
      <c r="C25" s="60" t="s">
        <v>4</v>
      </c>
      <c r="D25" s="62" t="s">
        <v>5</v>
      </c>
      <c r="E25" s="62" t="s">
        <v>6</v>
      </c>
      <c r="F25" s="62" t="s">
        <v>7</v>
      </c>
      <c r="G25" s="62" t="s">
        <v>8</v>
      </c>
      <c r="H25" s="62" t="s">
        <v>9</v>
      </c>
      <c r="I25" s="62" t="s">
        <v>10</v>
      </c>
      <c r="J25" s="62" t="s">
        <v>11</v>
      </c>
      <c r="K25" s="62" t="s">
        <v>12</v>
      </c>
      <c r="L25" s="62" t="s">
        <v>13</v>
      </c>
      <c r="M25" s="61" t="s">
        <v>14</v>
      </c>
      <c r="O25" s="60" t="s">
        <v>2</v>
      </c>
      <c r="P25" s="61" t="s">
        <v>3</v>
      </c>
      <c r="Q25" s="62" t="s">
        <v>4</v>
      </c>
      <c r="R25" s="62" t="s">
        <v>5</v>
      </c>
      <c r="S25" s="62" t="s">
        <v>6</v>
      </c>
      <c r="T25" s="62" t="s">
        <v>7</v>
      </c>
      <c r="U25" s="62" t="s">
        <v>8</v>
      </c>
      <c r="V25" s="62" t="s">
        <v>9</v>
      </c>
      <c r="W25" s="62" t="s">
        <v>10</v>
      </c>
      <c r="X25" s="62" t="s">
        <v>11</v>
      </c>
      <c r="Y25" s="62" t="s">
        <v>12</v>
      </c>
      <c r="Z25" s="62" t="s">
        <v>13</v>
      </c>
      <c r="AA25" s="61" t="s">
        <v>14</v>
      </c>
    </row>
    <row r="26" spans="1:27" x14ac:dyDescent="0.25">
      <c r="A26" s="56" t="s">
        <v>16</v>
      </c>
      <c r="B26" s="57" t="s">
        <v>17</v>
      </c>
      <c r="C26" s="56">
        <v>3871</v>
      </c>
      <c r="D26" s="75">
        <v>4102</v>
      </c>
      <c r="E26" s="75">
        <v>4298</v>
      </c>
      <c r="F26" s="75">
        <v>4691</v>
      </c>
      <c r="G26" s="75">
        <v>4796</v>
      </c>
      <c r="H26" s="75">
        <v>4753</v>
      </c>
      <c r="I26" s="75">
        <v>4607</v>
      </c>
      <c r="J26" s="75">
        <v>4619</v>
      </c>
      <c r="K26" s="75">
        <v>4783</v>
      </c>
      <c r="L26" s="75">
        <v>4678</v>
      </c>
      <c r="M26" s="57">
        <v>4688</v>
      </c>
      <c r="O26" s="56" t="s">
        <v>16</v>
      </c>
      <c r="P26" s="57" t="s">
        <v>17</v>
      </c>
      <c r="Q26" s="75">
        <v>38209</v>
      </c>
      <c r="R26" s="75">
        <v>36615</v>
      </c>
      <c r="S26" s="75">
        <v>35806</v>
      </c>
      <c r="T26" s="75">
        <v>35255</v>
      </c>
      <c r="U26" s="75">
        <v>33964</v>
      </c>
      <c r="V26" s="75">
        <v>31404</v>
      </c>
      <c r="W26" s="75">
        <v>29921</v>
      </c>
      <c r="X26" s="75">
        <v>28865</v>
      </c>
      <c r="Y26" s="75">
        <v>28705</v>
      </c>
      <c r="Z26" s="75">
        <v>27802</v>
      </c>
      <c r="AA26" s="57">
        <v>27104</v>
      </c>
    </row>
    <row r="27" spans="1:27" x14ac:dyDescent="0.25">
      <c r="A27" s="56"/>
      <c r="B27" s="57" t="s">
        <v>19</v>
      </c>
      <c r="C27" s="56">
        <v>1</v>
      </c>
      <c r="D27" s="75">
        <v>1</v>
      </c>
      <c r="E27" s="75">
        <v>2</v>
      </c>
      <c r="F27" s="75">
        <v>1</v>
      </c>
      <c r="G27" s="75">
        <v>1</v>
      </c>
      <c r="H27" s="75">
        <v>2</v>
      </c>
      <c r="I27" s="75">
        <v>0</v>
      </c>
      <c r="J27" s="75">
        <v>4</v>
      </c>
      <c r="K27" s="75">
        <v>9</v>
      </c>
      <c r="L27" s="75">
        <v>10</v>
      </c>
      <c r="M27" s="57">
        <v>9</v>
      </c>
      <c r="O27" s="56"/>
      <c r="P27" s="57" t="s">
        <v>19</v>
      </c>
      <c r="Q27" s="75">
        <v>20</v>
      </c>
      <c r="R27" s="75">
        <v>15</v>
      </c>
      <c r="S27" s="75">
        <v>15</v>
      </c>
      <c r="T27" s="75">
        <v>27</v>
      </c>
      <c r="U27" s="75">
        <v>19</v>
      </c>
      <c r="V27" s="75">
        <v>31</v>
      </c>
      <c r="W27" s="75">
        <v>32</v>
      </c>
      <c r="X27" s="75">
        <v>24</v>
      </c>
      <c r="Y27" s="75">
        <v>49</v>
      </c>
      <c r="Z27" s="75">
        <v>55</v>
      </c>
      <c r="AA27" s="57">
        <v>61</v>
      </c>
    </row>
    <row r="28" spans="1:27" x14ac:dyDescent="0.25">
      <c r="A28" s="56"/>
      <c r="B28" s="57" t="s">
        <v>21</v>
      </c>
      <c r="C28" s="56">
        <v>1546</v>
      </c>
      <c r="D28" s="75">
        <v>1590</v>
      </c>
      <c r="E28" s="75">
        <v>1587</v>
      </c>
      <c r="F28" s="75">
        <v>1734</v>
      </c>
      <c r="G28" s="75">
        <v>1767</v>
      </c>
      <c r="H28" s="75">
        <v>1862</v>
      </c>
      <c r="I28" s="75">
        <v>1783</v>
      </c>
      <c r="J28" s="75">
        <v>1718</v>
      </c>
      <c r="K28" s="75">
        <v>1848</v>
      </c>
      <c r="L28" s="75">
        <v>1928</v>
      </c>
      <c r="M28" s="57">
        <v>1955</v>
      </c>
      <c r="O28" s="56"/>
      <c r="P28" s="57" t="s">
        <v>21</v>
      </c>
      <c r="Q28" s="75">
        <v>26030</v>
      </c>
      <c r="R28" s="75">
        <v>23850</v>
      </c>
      <c r="S28" s="75">
        <v>22750</v>
      </c>
      <c r="T28" s="75">
        <v>22012</v>
      </c>
      <c r="U28" s="75">
        <v>21151</v>
      </c>
      <c r="V28" s="75">
        <v>19945</v>
      </c>
      <c r="W28" s="75">
        <v>19615</v>
      </c>
      <c r="X28" s="75">
        <v>18972</v>
      </c>
      <c r="Y28" s="75">
        <v>19268</v>
      </c>
      <c r="Z28" s="75">
        <v>19133</v>
      </c>
      <c r="AA28" s="57">
        <v>18986</v>
      </c>
    </row>
    <row r="29" spans="1:27" x14ac:dyDescent="0.25">
      <c r="A29" s="56"/>
      <c r="B29" s="57" t="s">
        <v>23</v>
      </c>
      <c r="C29" s="56">
        <v>2407</v>
      </c>
      <c r="D29" s="75">
        <v>2572</v>
      </c>
      <c r="E29" s="75">
        <v>2789</v>
      </c>
      <c r="F29" s="75">
        <v>3047</v>
      </c>
      <c r="G29" s="75">
        <v>3095</v>
      </c>
      <c r="H29" s="75">
        <v>2971</v>
      </c>
      <c r="I29" s="75">
        <v>2893</v>
      </c>
      <c r="J29" s="75">
        <v>2979</v>
      </c>
      <c r="K29" s="75">
        <v>3009</v>
      </c>
      <c r="L29" s="75">
        <v>2812</v>
      </c>
      <c r="M29" s="57">
        <v>2783</v>
      </c>
      <c r="O29" s="56"/>
      <c r="P29" s="57" t="s">
        <v>23</v>
      </c>
      <c r="Q29" s="75">
        <v>13335</v>
      </c>
      <c r="R29" s="75">
        <v>13852</v>
      </c>
      <c r="S29" s="75">
        <v>14119</v>
      </c>
      <c r="T29" s="75">
        <v>14301</v>
      </c>
      <c r="U29" s="75">
        <v>13844</v>
      </c>
      <c r="V29" s="75">
        <v>12378</v>
      </c>
      <c r="W29" s="75">
        <v>11162</v>
      </c>
      <c r="X29" s="75">
        <v>10689</v>
      </c>
      <c r="Y29" s="75">
        <v>10177</v>
      </c>
      <c r="Z29" s="75">
        <v>9349</v>
      </c>
      <c r="AA29" s="57">
        <v>8736</v>
      </c>
    </row>
    <row r="30" spans="1:27" x14ac:dyDescent="0.25">
      <c r="A30" s="56" t="s">
        <v>24</v>
      </c>
      <c r="B30" s="57" t="s">
        <v>17</v>
      </c>
      <c r="C30" s="56">
        <v>2103</v>
      </c>
      <c r="D30" s="75">
        <v>2207</v>
      </c>
      <c r="E30" s="75">
        <v>2231</v>
      </c>
      <c r="F30" s="75">
        <v>2444</v>
      </c>
      <c r="G30" s="75">
        <v>2484</v>
      </c>
      <c r="H30" s="75">
        <v>2412</v>
      </c>
      <c r="I30" s="75">
        <v>2383</v>
      </c>
      <c r="J30" s="75">
        <v>2414</v>
      </c>
      <c r="K30" s="75">
        <v>2453</v>
      </c>
      <c r="L30" s="75">
        <v>2427</v>
      </c>
      <c r="M30" s="57">
        <v>2458</v>
      </c>
      <c r="O30" s="56" t="s">
        <v>24</v>
      </c>
      <c r="P30" s="57" t="s">
        <v>17</v>
      </c>
      <c r="Q30" s="75">
        <v>18433</v>
      </c>
      <c r="R30" s="75">
        <v>17616</v>
      </c>
      <c r="S30" s="75">
        <v>17270</v>
      </c>
      <c r="T30" s="75">
        <v>17020</v>
      </c>
      <c r="U30" s="75">
        <v>16392</v>
      </c>
      <c r="V30" s="75">
        <v>15034</v>
      </c>
      <c r="W30" s="75">
        <v>14327</v>
      </c>
      <c r="X30" s="75">
        <v>13733</v>
      </c>
      <c r="Y30" s="75">
        <v>13701</v>
      </c>
      <c r="Z30" s="75">
        <v>13369</v>
      </c>
      <c r="AA30" s="57">
        <v>13068</v>
      </c>
    </row>
    <row r="31" spans="1:27" x14ac:dyDescent="0.25">
      <c r="A31" s="56"/>
      <c r="B31" s="57" t="s">
        <v>19</v>
      </c>
      <c r="C31" s="56">
        <v>1</v>
      </c>
      <c r="D31" s="75">
        <v>1</v>
      </c>
      <c r="E31" s="75">
        <v>2</v>
      </c>
      <c r="F31" s="75">
        <v>1</v>
      </c>
      <c r="G31" s="75">
        <v>0</v>
      </c>
      <c r="H31" s="75">
        <v>1</v>
      </c>
      <c r="I31" s="75">
        <v>0</v>
      </c>
      <c r="J31" s="75">
        <v>0</v>
      </c>
      <c r="K31" s="75">
        <v>5</v>
      </c>
      <c r="L31" s="75">
        <v>4</v>
      </c>
      <c r="M31" s="57">
        <v>7</v>
      </c>
      <c r="O31" s="56"/>
      <c r="P31" s="57" t="s">
        <v>19</v>
      </c>
      <c r="Q31" s="75">
        <v>8</v>
      </c>
      <c r="R31" s="75">
        <v>8</v>
      </c>
      <c r="S31" s="75">
        <v>8</v>
      </c>
      <c r="T31" s="75">
        <v>17</v>
      </c>
      <c r="U31" s="75">
        <v>10</v>
      </c>
      <c r="V31" s="75">
        <v>14</v>
      </c>
      <c r="W31" s="75">
        <v>17</v>
      </c>
      <c r="X31" s="75">
        <v>10</v>
      </c>
      <c r="Y31" s="75">
        <v>28</v>
      </c>
      <c r="Z31" s="75">
        <v>20</v>
      </c>
      <c r="AA31" s="57">
        <v>40</v>
      </c>
    </row>
    <row r="32" spans="1:27" x14ac:dyDescent="0.25">
      <c r="A32" s="56"/>
      <c r="B32" s="57" t="s">
        <v>21</v>
      </c>
      <c r="C32" s="56">
        <v>874</v>
      </c>
      <c r="D32" s="75">
        <v>902</v>
      </c>
      <c r="E32" s="75">
        <v>836</v>
      </c>
      <c r="F32" s="75">
        <v>929</v>
      </c>
      <c r="G32" s="75">
        <v>954</v>
      </c>
      <c r="H32" s="75">
        <v>988</v>
      </c>
      <c r="I32" s="75">
        <v>962</v>
      </c>
      <c r="J32" s="75">
        <v>909</v>
      </c>
      <c r="K32" s="75">
        <v>1010</v>
      </c>
      <c r="L32" s="75">
        <v>1019</v>
      </c>
      <c r="M32" s="57">
        <v>1064</v>
      </c>
      <c r="O32" s="56"/>
      <c r="P32" s="57" t="s">
        <v>21</v>
      </c>
      <c r="Q32" s="75">
        <v>12252</v>
      </c>
      <c r="R32" s="75">
        <v>11181</v>
      </c>
      <c r="S32" s="75">
        <v>10682</v>
      </c>
      <c r="T32" s="75">
        <v>10318</v>
      </c>
      <c r="U32" s="75">
        <v>9962</v>
      </c>
      <c r="V32" s="75">
        <v>9339</v>
      </c>
      <c r="W32" s="75">
        <v>9198</v>
      </c>
      <c r="X32" s="75">
        <v>8804</v>
      </c>
      <c r="Y32" s="75">
        <v>9093</v>
      </c>
      <c r="Z32" s="75">
        <v>8999</v>
      </c>
      <c r="AA32" s="57">
        <v>8925</v>
      </c>
    </row>
    <row r="33" spans="1:27" x14ac:dyDescent="0.25">
      <c r="A33" s="56"/>
      <c r="B33" s="57" t="s">
        <v>23</v>
      </c>
      <c r="C33" s="56">
        <v>1263</v>
      </c>
      <c r="D33" s="75">
        <v>1343</v>
      </c>
      <c r="E33" s="75">
        <v>1441</v>
      </c>
      <c r="F33" s="75">
        <v>1567</v>
      </c>
      <c r="G33" s="75">
        <v>1567</v>
      </c>
      <c r="H33" s="75">
        <v>1463</v>
      </c>
      <c r="I33" s="75">
        <v>1461</v>
      </c>
      <c r="J33" s="75">
        <v>1553</v>
      </c>
      <c r="K33" s="75">
        <v>1493</v>
      </c>
      <c r="L33" s="75">
        <v>1446</v>
      </c>
      <c r="M33" s="57">
        <v>1422</v>
      </c>
      <c r="O33" s="56"/>
      <c r="P33" s="57" t="s">
        <v>23</v>
      </c>
      <c r="Q33" s="75">
        <v>6752</v>
      </c>
      <c r="R33" s="75">
        <v>6985</v>
      </c>
      <c r="S33" s="75">
        <v>7119</v>
      </c>
      <c r="T33" s="75">
        <v>7229</v>
      </c>
      <c r="U33" s="75">
        <v>6914</v>
      </c>
      <c r="V33" s="75">
        <v>6153</v>
      </c>
      <c r="W33" s="75">
        <v>5546</v>
      </c>
      <c r="X33" s="75">
        <v>5303</v>
      </c>
      <c r="Y33" s="75">
        <v>4988</v>
      </c>
      <c r="Z33" s="75">
        <v>4719</v>
      </c>
      <c r="AA33" s="57">
        <v>4434</v>
      </c>
    </row>
    <row r="34" spans="1:27" x14ac:dyDescent="0.25">
      <c r="A34" s="56" t="s">
        <v>25</v>
      </c>
      <c r="B34" s="57" t="s">
        <v>17</v>
      </c>
      <c r="C34" s="56">
        <v>1042</v>
      </c>
      <c r="D34" s="75">
        <v>1144</v>
      </c>
      <c r="E34" s="75">
        <v>1259</v>
      </c>
      <c r="F34" s="75">
        <v>1374</v>
      </c>
      <c r="G34" s="75">
        <v>1415</v>
      </c>
      <c r="H34" s="75">
        <v>1427</v>
      </c>
      <c r="I34" s="75">
        <v>1380</v>
      </c>
      <c r="J34" s="75">
        <v>1367</v>
      </c>
      <c r="K34" s="75">
        <v>1418</v>
      </c>
      <c r="L34" s="75">
        <v>1345</v>
      </c>
      <c r="M34" s="57">
        <v>1364</v>
      </c>
      <c r="O34" s="56" t="s">
        <v>25</v>
      </c>
      <c r="P34" s="57" t="s">
        <v>17</v>
      </c>
      <c r="Q34" s="75">
        <v>12573</v>
      </c>
      <c r="R34" s="75">
        <v>12041</v>
      </c>
      <c r="S34" s="75">
        <v>11874</v>
      </c>
      <c r="T34" s="75">
        <v>11818</v>
      </c>
      <c r="U34" s="75">
        <v>11209</v>
      </c>
      <c r="V34" s="75">
        <v>10645</v>
      </c>
      <c r="W34" s="75">
        <v>10116</v>
      </c>
      <c r="X34" s="75">
        <v>9808</v>
      </c>
      <c r="Y34" s="75">
        <v>9751</v>
      </c>
      <c r="Z34" s="75">
        <v>9224</v>
      </c>
      <c r="AA34" s="57">
        <v>9146</v>
      </c>
    </row>
    <row r="35" spans="1:27" x14ac:dyDescent="0.25">
      <c r="A35" s="56"/>
      <c r="B35" s="57" t="s">
        <v>19</v>
      </c>
      <c r="C35" s="56">
        <v>0</v>
      </c>
      <c r="D35" s="75">
        <v>0</v>
      </c>
      <c r="E35" s="75">
        <v>0</v>
      </c>
      <c r="F35" s="75">
        <v>0</v>
      </c>
      <c r="G35" s="75">
        <v>1</v>
      </c>
      <c r="H35" s="75">
        <v>1</v>
      </c>
      <c r="I35" s="75">
        <v>0</v>
      </c>
      <c r="J35" s="75">
        <v>3</v>
      </c>
      <c r="K35" s="75">
        <v>3</v>
      </c>
      <c r="L35" s="75">
        <v>2</v>
      </c>
      <c r="M35" s="57">
        <v>1</v>
      </c>
      <c r="O35" s="56"/>
      <c r="P35" s="57" t="s">
        <v>19</v>
      </c>
      <c r="Q35" s="75">
        <v>7</v>
      </c>
      <c r="R35" s="75">
        <v>2</v>
      </c>
      <c r="S35" s="75">
        <v>4</v>
      </c>
      <c r="T35" s="75">
        <v>3</v>
      </c>
      <c r="U35" s="75">
        <v>5</v>
      </c>
      <c r="V35" s="75">
        <v>10</v>
      </c>
      <c r="W35" s="75">
        <v>7</v>
      </c>
      <c r="X35" s="75">
        <v>12</v>
      </c>
      <c r="Y35" s="75">
        <v>13</v>
      </c>
      <c r="Z35" s="75">
        <v>19</v>
      </c>
      <c r="AA35" s="57">
        <v>12</v>
      </c>
    </row>
    <row r="36" spans="1:27" x14ac:dyDescent="0.25">
      <c r="A36" s="56"/>
      <c r="B36" s="57" t="s">
        <v>21</v>
      </c>
      <c r="C36" s="56">
        <v>368</v>
      </c>
      <c r="D36" s="75">
        <v>402</v>
      </c>
      <c r="E36" s="75">
        <v>439</v>
      </c>
      <c r="F36" s="75">
        <v>472</v>
      </c>
      <c r="G36" s="75">
        <v>486</v>
      </c>
      <c r="H36" s="75">
        <v>506</v>
      </c>
      <c r="I36" s="75">
        <v>496</v>
      </c>
      <c r="J36" s="75">
        <v>505</v>
      </c>
      <c r="K36" s="75">
        <v>498</v>
      </c>
      <c r="L36" s="75">
        <v>523</v>
      </c>
      <c r="M36" s="57">
        <v>536</v>
      </c>
      <c r="O36" s="56"/>
      <c r="P36" s="57" t="s">
        <v>21</v>
      </c>
      <c r="Q36" s="75">
        <v>8846</v>
      </c>
      <c r="R36" s="75">
        <v>8043</v>
      </c>
      <c r="S36" s="75">
        <v>7862</v>
      </c>
      <c r="T36" s="75">
        <v>7686</v>
      </c>
      <c r="U36" s="75">
        <v>7191</v>
      </c>
      <c r="V36" s="75">
        <v>7015</v>
      </c>
      <c r="W36" s="75">
        <v>6857</v>
      </c>
      <c r="X36" s="75">
        <v>6700</v>
      </c>
      <c r="Y36" s="75">
        <v>6679</v>
      </c>
      <c r="Z36" s="75">
        <v>6523</v>
      </c>
      <c r="AA36" s="57">
        <v>6643</v>
      </c>
    </row>
    <row r="37" spans="1:27" x14ac:dyDescent="0.25">
      <c r="A37" s="56"/>
      <c r="B37" s="57" t="s">
        <v>23</v>
      </c>
      <c r="C37" s="56">
        <v>696</v>
      </c>
      <c r="D37" s="75">
        <v>754</v>
      </c>
      <c r="E37" s="75">
        <v>834</v>
      </c>
      <c r="F37" s="75">
        <v>923</v>
      </c>
      <c r="G37" s="75">
        <v>942</v>
      </c>
      <c r="H37" s="75">
        <v>940</v>
      </c>
      <c r="I37" s="75">
        <v>897</v>
      </c>
      <c r="J37" s="75">
        <v>878</v>
      </c>
      <c r="K37" s="75">
        <v>932</v>
      </c>
      <c r="L37" s="75">
        <v>837</v>
      </c>
      <c r="M37" s="57">
        <v>838</v>
      </c>
      <c r="O37" s="56"/>
      <c r="P37" s="57" t="s">
        <v>23</v>
      </c>
      <c r="Q37" s="75">
        <v>4081</v>
      </c>
      <c r="R37" s="75">
        <v>4334</v>
      </c>
      <c r="S37" s="75">
        <v>4336</v>
      </c>
      <c r="T37" s="75">
        <v>4486</v>
      </c>
      <c r="U37" s="75">
        <v>4361</v>
      </c>
      <c r="V37" s="75">
        <v>3938</v>
      </c>
      <c r="W37" s="75">
        <v>3536</v>
      </c>
      <c r="X37" s="75">
        <v>3366</v>
      </c>
      <c r="Y37" s="75">
        <v>3309</v>
      </c>
      <c r="Z37" s="75">
        <v>2915</v>
      </c>
      <c r="AA37" s="57">
        <v>2719</v>
      </c>
    </row>
    <row r="38" spans="1:27" x14ac:dyDescent="0.25">
      <c r="A38" s="56" t="s">
        <v>26</v>
      </c>
      <c r="B38" s="57" t="s">
        <v>17</v>
      </c>
      <c r="C38" s="56">
        <v>630</v>
      </c>
      <c r="D38" s="75">
        <v>649</v>
      </c>
      <c r="E38" s="75">
        <v>710</v>
      </c>
      <c r="F38" s="75">
        <v>734</v>
      </c>
      <c r="G38" s="75">
        <v>762</v>
      </c>
      <c r="H38" s="75">
        <v>768</v>
      </c>
      <c r="I38" s="75">
        <v>713</v>
      </c>
      <c r="J38" s="75">
        <v>714</v>
      </c>
      <c r="K38" s="75">
        <v>769</v>
      </c>
      <c r="L38" s="75">
        <v>737</v>
      </c>
      <c r="M38" s="57">
        <v>717</v>
      </c>
      <c r="O38" s="56" t="s">
        <v>26</v>
      </c>
      <c r="P38" s="57" t="s">
        <v>17</v>
      </c>
      <c r="Q38" s="75">
        <v>5654</v>
      </c>
      <c r="R38" s="75">
        <v>5509</v>
      </c>
      <c r="S38" s="75">
        <v>5250</v>
      </c>
      <c r="T38" s="75">
        <v>5099</v>
      </c>
      <c r="U38" s="75">
        <v>4942</v>
      </c>
      <c r="V38" s="75">
        <v>4507</v>
      </c>
      <c r="W38" s="75">
        <v>4268</v>
      </c>
      <c r="X38" s="75">
        <v>4122</v>
      </c>
      <c r="Y38" s="75">
        <v>4086</v>
      </c>
      <c r="Z38" s="75">
        <v>4059</v>
      </c>
      <c r="AA38" s="57">
        <v>3811</v>
      </c>
    </row>
    <row r="39" spans="1:27" x14ac:dyDescent="0.25">
      <c r="A39" s="56"/>
      <c r="B39" s="57" t="s">
        <v>19</v>
      </c>
      <c r="C39" s="56">
        <v>0</v>
      </c>
      <c r="D39" s="75">
        <v>0</v>
      </c>
      <c r="E39" s="75">
        <v>0</v>
      </c>
      <c r="F39" s="75">
        <v>0</v>
      </c>
      <c r="G39" s="75">
        <v>0</v>
      </c>
      <c r="H39" s="75">
        <v>0</v>
      </c>
      <c r="I39" s="75">
        <v>0</v>
      </c>
      <c r="J39" s="75">
        <v>1</v>
      </c>
      <c r="K39" s="75">
        <v>1</v>
      </c>
      <c r="L39" s="75">
        <v>3</v>
      </c>
      <c r="M39" s="57">
        <v>0</v>
      </c>
      <c r="O39" s="56"/>
      <c r="P39" s="57" t="s">
        <v>19</v>
      </c>
      <c r="Q39" s="75">
        <v>2</v>
      </c>
      <c r="R39" s="75">
        <v>4</v>
      </c>
      <c r="S39" s="75">
        <v>2</v>
      </c>
      <c r="T39" s="75">
        <v>5</v>
      </c>
      <c r="U39" s="75">
        <v>4</v>
      </c>
      <c r="V39" s="75">
        <v>6</v>
      </c>
      <c r="W39" s="75">
        <v>6</v>
      </c>
      <c r="X39" s="75">
        <v>2</v>
      </c>
      <c r="Y39" s="75">
        <v>6</v>
      </c>
      <c r="Z39" s="75">
        <v>15</v>
      </c>
      <c r="AA39" s="57">
        <v>7</v>
      </c>
    </row>
    <row r="40" spans="1:27" x14ac:dyDescent="0.25">
      <c r="A40" s="56"/>
      <c r="B40" s="57" t="s">
        <v>21</v>
      </c>
      <c r="C40" s="56">
        <v>270</v>
      </c>
      <c r="D40" s="75">
        <v>251</v>
      </c>
      <c r="E40" s="75">
        <v>282</v>
      </c>
      <c r="F40" s="75">
        <v>291</v>
      </c>
      <c r="G40" s="75">
        <v>283</v>
      </c>
      <c r="H40" s="75">
        <v>322</v>
      </c>
      <c r="I40" s="75">
        <v>280</v>
      </c>
      <c r="J40" s="75">
        <v>262</v>
      </c>
      <c r="K40" s="75">
        <v>291</v>
      </c>
      <c r="L40" s="75">
        <v>324</v>
      </c>
      <c r="M40" s="57">
        <v>299</v>
      </c>
      <c r="O40" s="56"/>
      <c r="P40" s="57" t="s">
        <v>21</v>
      </c>
      <c r="Q40" s="75">
        <v>3711</v>
      </c>
      <c r="R40" s="75">
        <v>3556</v>
      </c>
      <c r="S40" s="75">
        <v>3209</v>
      </c>
      <c r="T40" s="75">
        <v>3097</v>
      </c>
      <c r="U40" s="75">
        <v>2986</v>
      </c>
      <c r="V40" s="75">
        <v>2753</v>
      </c>
      <c r="W40" s="75">
        <v>2696</v>
      </c>
      <c r="X40" s="75">
        <v>2585</v>
      </c>
      <c r="Y40" s="75">
        <v>2621</v>
      </c>
      <c r="Z40" s="75">
        <v>2744</v>
      </c>
      <c r="AA40" s="57">
        <v>2590</v>
      </c>
    </row>
    <row r="41" spans="1:27" x14ac:dyDescent="0.25">
      <c r="A41" s="56"/>
      <c r="B41" s="57" t="s">
        <v>23</v>
      </c>
      <c r="C41" s="56">
        <v>382</v>
      </c>
      <c r="D41" s="75">
        <v>408</v>
      </c>
      <c r="E41" s="75">
        <v>445</v>
      </c>
      <c r="F41" s="75">
        <v>459</v>
      </c>
      <c r="G41" s="75">
        <v>494</v>
      </c>
      <c r="H41" s="75">
        <v>467</v>
      </c>
      <c r="I41" s="75">
        <v>447</v>
      </c>
      <c r="J41" s="75">
        <v>464</v>
      </c>
      <c r="K41" s="75">
        <v>490</v>
      </c>
      <c r="L41" s="75">
        <v>422</v>
      </c>
      <c r="M41" s="57">
        <v>430</v>
      </c>
      <c r="O41" s="56"/>
      <c r="P41" s="57" t="s">
        <v>23</v>
      </c>
      <c r="Q41" s="75">
        <v>2137</v>
      </c>
      <c r="R41" s="75">
        <v>2124</v>
      </c>
      <c r="S41" s="75">
        <v>2214</v>
      </c>
      <c r="T41" s="75">
        <v>2140</v>
      </c>
      <c r="U41" s="75">
        <v>2116</v>
      </c>
      <c r="V41" s="75">
        <v>1871</v>
      </c>
      <c r="W41" s="75">
        <v>1699</v>
      </c>
      <c r="X41" s="75">
        <v>1663</v>
      </c>
      <c r="Y41" s="75">
        <v>1564</v>
      </c>
      <c r="Z41" s="75">
        <v>1416</v>
      </c>
      <c r="AA41" s="57">
        <v>1301</v>
      </c>
    </row>
    <row r="42" spans="1:27" x14ac:dyDescent="0.25">
      <c r="A42" s="56" t="s">
        <v>27</v>
      </c>
      <c r="B42" s="57" t="s">
        <v>17</v>
      </c>
      <c r="C42" s="56">
        <v>96</v>
      </c>
      <c r="D42" s="75">
        <v>102</v>
      </c>
      <c r="E42" s="75">
        <v>98</v>
      </c>
      <c r="F42" s="75">
        <v>139</v>
      </c>
      <c r="G42" s="75">
        <v>135</v>
      </c>
      <c r="H42" s="75">
        <v>146</v>
      </c>
      <c r="I42" s="75">
        <v>131</v>
      </c>
      <c r="J42" s="75">
        <v>124</v>
      </c>
      <c r="K42" s="75">
        <v>143</v>
      </c>
      <c r="L42" s="75">
        <v>169</v>
      </c>
      <c r="M42" s="57">
        <v>149</v>
      </c>
      <c r="O42" s="56" t="s">
        <v>27</v>
      </c>
      <c r="P42" s="57" t="s">
        <v>17</v>
      </c>
      <c r="Q42" s="75">
        <v>1549</v>
      </c>
      <c r="R42" s="75">
        <v>1450</v>
      </c>
      <c r="S42" s="75">
        <v>1412</v>
      </c>
      <c r="T42" s="75">
        <v>1318</v>
      </c>
      <c r="U42" s="75">
        <v>1421</v>
      </c>
      <c r="V42" s="75">
        <v>1218</v>
      </c>
      <c r="W42" s="75">
        <v>1210</v>
      </c>
      <c r="X42" s="75">
        <v>1203</v>
      </c>
      <c r="Y42" s="75">
        <v>1169</v>
      </c>
      <c r="Z42" s="75">
        <v>1150</v>
      </c>
      <c r="AA42" s="57">
        <v>1079</v>
      </c>
    </row>
    <row r="43" spans="1:27" x14ac:dyDescent="0.25">
      <c r="A43" s="56"/>
      <c r="B43" s="57" t="s">
        <v>19</v>
      </c>
      <c r="C43" s="56">
        <v>0</v>
      </c>
      <c r="D43" s="75">
        <v>0</v>
      </c>
      <c r="E43" s="75">
        <v>0</v>
      </c>
      <c r="F43" s="75">
        <v>0</v>
      </c>
      <c r="G43" s="75">
        <v>0</v>
      </c>
      <c r="H43" s="75">
        <v>0</v>
      </c>
      <c r="I43" s="75">
        <v>0</v>
      </c>
      <c r="J43" s="75">
        <v>0</v>
      </c>
      <c r="K43" s="75">
        <v>0</v>
      </c>
      <c r="L43" s="75">
        <v>1</v>
      </c>
      <c r="M43" s="57">
        <v>1</v>
      </c>
      <c r="O43" s="56"/>
      <c r="P43" s="57" t="s">
        <v>19</v>
      </c>
      <c r="Q43" s="75">
        <v>3</v>
      </c>
      <c r="R43" s="75">
        <v>1</v>
      </c>
      <c r="S43" s="75">
        <v>1</v>
      </c>
      <c r="T43" s="75">
        <v>2</v>
      </c>
      <c r="U43" s="75">
        <v>0</v>
      </c>
      <c r="V43" s="75">
        <v>1</v>
      </c>
      <c r="W43" s="75">
        <v>2</v>
      </c>
      <c r="X43" s="75">
        <v>0</v>
      </c>
      <c r="Y43" s="75">
        <v>2</v>
      </c>
      <c r="Z43" s="75">
        <v>1</v>
      </c>
      <c r="AA43" s="57">
        <v>2</v>
      </c>
    </row>
    <row r="44" spans="1:27" x14ac:dyDescent="0.25">
      <c r="A44" s="56"/>
      <c r="B44" s="57" t="s">
        <v>21</v>
      </c>
      <c r="C44" s="56">
        <v>34</v>
      </c>
      <c r="D44" s="75">
        <v>35</v>
      </c>
      <c r="E44" s="75">
        <v>30</v>
      </c>
      <c r="F44" s="75">
        <v>42</v>
      </c>
      <c r="G44" s="75">
        <v>44</v>
      </c>
      <c r="H44" s="75">
        <v>46</v>
      </c>
      <c r="I44" s="75">
        <v>45</v>
      </c>
      <c r="J44" s="75">
        <v>42</v>
      </c>
      <c r="K44" s="75">
        <v>49</v>
      </c>
      <c r="L44" s="75">
        <v>62</v>
      </c>
      <c r="M44" s="57">
        <v>56</v>
      </c>
      <c r="O44" s="56"/>
      <c r="P44" s="57" t="s">
        <v>21</v>
      </c>
      <c r="Q44" s="75">
        <v>1221</v>
      </c>
      <c r="R44" s="75">
        <v>1070</v>
      </c>
      <c r="S44" s="75">
        <v>997</v>
      </c>
      <c r="T44" s="75">
        <v>911</v>
      </c>
      <c r="U44" s="75">
        <v>1012</v>
      </c>
      <c r="V44" s="75">
        <v>838</v>
      </c>
      <c r="W44" s="75">
        <v>864</v>
      </c>
      <c r="X44" s="75">
        <v>883</v>
      </c>
      <c r="Y44" s="75">
        <v>877</v>
      </c>
      <c r="Z44" s="75">
        <v>867</v>
      </c>
      <c r="AA44" s="57">
        <v>828</v>
      </c>
    </row>
    <row r="45" spans="1:27" x14ac:dyDescent="0.25">
      <c r="A45" s="58"/>
      <c r="B45" s="59" t="s">
        <v>23</v>
      </c>
      <c r="C45" s="58">
        <v>66</v>
      </c>
      <c r="D45" s="76">
        <v>67</v>
      </c>
      <c r="E45" s="76">
        <v>69</v>
      </c>
      <c r="F45" s="76">
        <v>98</v>
      </c>
      <c r="G45" s="76">
        <v>92</v>
      </c>
      <c r="H45" s="76">
        <v>101</v>
      </c>
      <c r="I45" s="76">
        <v>88</v>
      </c>
      <c r="J45" s="76">
        <v>84</v>
      </c>
      <c r="K45" s="76">
        <v>94</v>
      </c>
      <c r="L45" s="76">
        <v>107</v>
      </c>
      <c r="M45" s="59">
        <v>93</v>
      </c>
      <c r="O45" s="58"/>
      <c r="P45" s="59" t="s">
        <v>23</v>
      </c>
      <c r="Q45" s="76">
        <v>365</v>
      </c>
      <c r="R45" s="76">
        <v>410</v>
      </c>
      <c r="S45" s="76">
        <v>450</v>
      </c>
      <c r="T45" s="76">
        <v>446</v>
      </c>
      <c r="U45" s="76">
        <v>453</v>
      </c>
      <c r="V45" s="76">
        <v>416</v>
      </c>
      <c r="W45" s="76">
        <v>381</v>
      </c>
      <c r="X45" s="76">
        <v>357</v>
      </c>
      <c r="Y45" s="76">
        <v>316</v>
      </c>
      <c r="Z45" s="76">
        <v>299</v>
      </c>
      <c r="AA45" s="59">
        <v>282</v>
      </c>
    </row>
    <row r="47" spans="1:27" x14ac:dyDescent="0.25">
      <c r="A47" s="84" t="s">
        <v>31</v>
      </c>
      <c r="B47" s="85"/>
      <c r="C47" s="85"/>
      <c r="D47" s="85"/>
      <c r="E47" s="85"/>
      <c r="F47" s="85"/>
      <c r="G47" s="85"/>
      <c r="H47" s="85"/>
      <c r="I47" s="85"/>
      <c r="J47" s="85"/>
      <c r="K47" s="85"/>
      <c r="L47" s="85"/>
      <c r="M47" s="86"/>
      <c r="O47" s="63" t="s">
        <v>32</v>
      </c>
      <c r="P47" s="64"/>
      <c r="Q47" s="64"/>
      <c r="R47" s="64"/>
      <c r="S47" s="64"/>
      <c r="T47" s="64"/>
      <c r="U47" s="64"/>
      <c r="V47" s="64"/>
      <c r="W47" s="64"/>
      <c r="X47" s="64"/>
      <c r="Y47" s="64"/>
      <c r="Z47" s="64"/>
      <c r="AA47" s="65"/>
    </row>
    <row r="48" spans="1:27" x14ac:dyDescent="0.25">
      <c r="A48" s="60" t="s">
        <v>2</v>
      </c>
      <c r="B48" s="61" t="s">
        <v>3</v>
      </c>
      <c r="C48" s="62" t="s">
        <v>4</v>
      </c>
      <c r="D48" s="62" t="s">
        <v>5</v>
      </c>
      <c r="E48" s="62" t="s">
        <v>6</v>
      </c>
      <c r="F48" s="62" t="s">
        <v>7</v>
      </c>
      <c r="G48" s="62" t="s">
        <v>8</v>
      </c>
      <c r="H48" s="62" t="s">
        <v>9</v>
      </c>
      <c r="I48" s="62" t="s">
        <v>10</v>
      </c>
      <c r="J48" s="62" t="s">
        <v>11</v>
      </c>
      <c r="K48" s="62" t="s">
        <v>12</v>
      </c>
      <c r="L48" s="62" t="s">
        <v>13</v>
      </c>
      <c r="M48" s="61" t="s">
        <v>14</v>
      </c>
      <c r="O48" s="60" t="s">
        <v>2</v>
      </c>
      <c r="P48" s="61" t="s">
        <v>3</v>
      </c>
      <c r="Q48" s="62" t="s">
        <v>4</v>
      </c>
      <c r="R48" s="62" t="s">
        <v>5</v>
      </c>
      <c r="S48" s="62" t="s">
        <v>6</v>
      </c>
      <c r="T48" s="62" t="s">
        <v>7</v>
      </c>
      <c r="U48" s="62" t="s">
        <v>8</v>
      </c>
      <c r="V48" s="62" t="s">
        <v>9</v>
      </c>
      <c r="W48" s="62" t="s">
        <v>10</v>
      </c>
      <c r="X48" s="62" t="s">
        <v>11</v>
      </c>
      <c r="Y48" s="62" t="s">
        <v>12</v>
      </c>
      <c r="Z48" s="62" t="s">
        <v>13</v>
      </c>
      <c r="AA48" s="61" t="s">
        <v>14</v>
      </c>
    </row>
    <row r="49" spans="1:27" x14ac:dyDescent="0.25">
      <c r="A49" s="56" t="s">
        <v>16</v>
      </c>
      <c r="B49" s="57" t="s">
        <v>17</v>
      </c>
      <c r="C49" s="75">
        <v>23401</v>
      </c>
      <c r="D49" s="75">
        <v>21167</v>
      </c>
      <c r="E49" s="75">
        <v>19849</v>
      </c>
      <c r="F49" s="75">
        <v>19060</v>
      </c>
      <c r="G49" s="75">
        <v>17878</v>
      </c>
      <c r="H49" s="75">
        <v>17108</v>
      </c>
      <c r="I49" s="75">
        <v>16896</v>
      </c>
      <c r="J49" s="75">
        <v>16487</v>
      </c>
      <c r="K49" s="75">
        <v>16816</v>
      </c>
      <c r="L49" s="75">
        <v>16900</v>
      </c>
      <c r="M49" s="57">
        <v>16829</v>
      </c>
      <c r="O49" s="56" t="s">
        <v>16</v>
      </c>
      <c r="P49" s="57" t="s">
        <v>17</v>
      </c>
      <c r="Q49" s="75">
        <f>Q26-C26-Dati_OPTN!$C49</f>
        <v>10937</v>
      </c>
      <c r="R49" s="75">
        <f>R26-D26-Dati_OPTN!$D49</f>
        <v>11346</v>
      </c>
      <c r="S49" s="75">
        <f>S26-E26-Dati_OPTN!$E49</f>
        <v>11659</v>
      </c>
      <c r="T49" s="75">
        <f>T26-F26-Dati_OPTN!$F49</f>
        <v>11504</v>
      </c>
      <c r="U49" s="75">
        <f>U26-G26-Dati_OPTN!$G49</f>
        <v>11290</v>
      </c>
      <c r="V49" s="75">
        <f>V26-H26-Dati_OPTN!$H49</f>
        <v>9543</v>
      </c>
      <c r="W49" s="75">
        <f>W26-I26-Dati_OPTN!$I49</f>
        <v>8418</v>
      </c>
      <c r="X49" s="75">
        <f>X26-J26-Dati_OPTN!$J49</f>
        <v>7759</v>
      </c>
      <c r="Y49" s="75">
        <f>Y26-K26-Dati_OPTN!$K49</f>
        <v>7106</v>
      </c>
      <c r="Z49" s="75">
        <f>Z26-L26-Dati_OPTN!$L49</f>
        <v>6224</v>
      </c>
      <c r="AA49" s="57">
        <f>AA26-M26-Dati_OPTN!$M49</f>
        <v>5587</v>
      </c>
    </row>
    <row r="50" spans="1:27" x14ac:dyDescent="0.25">
      <c r="A50" s="56"/>
      <c r="B50" s="57" t="s">
        <v>19</v>
      </c>
      <c r="C50" s="75">
        <v>17</v>
      </c>
      <c r="D50" s="75">
        <v>13</v>
      </c>
      <c r="E50" s="75">
        <v>11</v>
      </c>
      <c r="F50" s="75">
        <v>18</v>
      </c>
      <c r="G50" s="75">
        <v>16</v>
      </c>
      <c r="H50" s="75">
        <v>24</v>
      </c>
      <c r="I50" s="75">
        <v>28</v>
      </c>
      <c r="J50" s="75">
        <v>17</v>
      </c>
      <c r="K50" s="75">
        <v>32</v>
      </c>
      <c r="L50" s="75">
        <v>36</v>
      </c>
      <c r="M50" s="57">
        <v>40</v>
      </c>
      <c r="O50" s="56"/>
      <c r="P50" s="57" t="s">
        <v>19</v>
      </c>
      <c r="Q50" s="75">
        <f>Q27-C27-Dati_OPTN!$C50</f>
        <v>2</v>
      </c>
      <c r="R50" s="75">
        <f>R27-D27-Dati_OPTN!$D50</f>
        <v>1</v>
      </c>
      <c r="S50" s="75">
        <f>S27-E27-Dati_OPTN!$E50</f>
        <v>2</v>
      </c>
      <c r="T50" s="75">
        <f>T27-F27-Dati_OPTN!$F50</f>
        <v>8</v>
      </c>
      <c r="U50" s="75">
        <f>U27-G27-Dati_OPTN!$G50</f>
        <v>2</v>
      </c>
      <c r="V50" s="75">
        <f>V27-H27-Dati_OPTN!$H50</f>
        <v>5</v>
      </c>
      <c r="W50" s="75">
        <f>W27-I27-Dati_OPTN!$I50</f>
        <v>4</v>
      </c>
      <c r="X50" s="75">
        <f>X27-J27-Dati_OPTN!$J50</f>
        <v>3</v>
      </c>
      <c r="Y50" s="75">
        <f>Y27-K27-Dati_OPTN!$K50</f>
        <v>8</v>
      </c>
      <c r="Z50" s="75">
        <f>Z27-L27-Dati_OPTN!$L50</f>
        <v>9</v>
      </c>
      <c r="AA50" s="57">
        <f>AA27-M27-Dati_OPTN!$M50</f>
        <v>12</v>
      </c>
    </row>
    <row r="51" spans="1:27" x14ac:dyDescent="0.25">
      <c r="A51" s="56"/>
      <c r="B51" s="57" t="s">
        <v>21</v>
      </c>
      <c r="C51" s="75">
        <v>21491</v>
      </c>
      <c r="D51" s="75">
        <v>19341</v>
      </c>
      <c r="E51" s="75">
        <v>18152</v>
      </c>
      <c r="F51" s="75">
        <v>17437</v>
      </c>
      <c r="G51" s="75">
        <v>16351</v>
      </c>
      <c r="H51" s="75">
        <v>15445</v>
      </c>
      <c r="I51" s="75">
        <v>15123</v>
      </c>
      <c r="J51" s="75">
        <v>14743</v>
      </c>
      <c r="K51" s="75">
        <v>14898</v>
      </c>
      <c r="L51" s="75">
        <v>14734</v>
      </c>
      <c r="M51" s="57">
        <v>14626</v>
      </c>
      <c r="O51" s="56"/>
      <c r="P51" s="57" t="s">
        <v>21</v>
      </c>
      <c r="Q51" s="75">
        <f>Q28-C28-Dati_OPTN!$C51</f>
        <v>2993</v>
      </c>
      <c r="R51" s="75">
        <f>R28-D28-Dati_OPTN!$D51</f>
        <v>2919</v>
      </c>
      <c r="S51" s="75">
        <f>S28-E28-Dati_OPTN!$E51</f>
        <v>3011</v>
      </c>
      <c r="T51" s="75">
        <f>T28-F28-Dati_OPTN!$F51</f>
        <v>2841</v>
      </c>
      <c r="U51" s="75">
        <f>U28-G28-Dati_OPTN!$G51</f>
        <v>3033</v>
      </c>
      <c r="V51" s="75">
        <f>V28-H28-Dati_OPTN!$H51</f>
        <v>2638</v>
      </c>
      <c r="W51" s="75">
        <f>W28-I28-Dati_OPTN!$I51</f>
        <v>2709</v>
      </c>
      <c r="X51" s="75">
        <f>X28-J28-Dati_OPTN!$J51</f>
        <v>2511</v>
      </c>
      <c r="Y51" s="75">
        <f>Y28-K28-Dati_OPTN!$K51</f>
        <v>2522</v>
      </c>
      <c r="Z51" s="75">
        <f>Z28-L28-Dati_OPTN!$L51</f>
        <v>2471</v>
      </c>
      <c r="AA51" s="57">
        <f>AA28-M28-Dati_OPTN!$M51</f>
        <v>2405</v>
      </c>
    </row>
    <row r="52" spans="1:27" x14ac:dyDescent="0.25">
      <c r="A52" s="56"/>
      <c r="B52" s="57" t="s">
        <v>23</v>
      </c>
      <c r="C52" s="75">
        <v>1793</v>
      </c>
      <c r="D52" s="75">
        <v>1717</v>
      </c>
      <c r="E52" s="75">
        <v>1586</v>
      </c>
      <c r="F52" s="75">
        <v>1501</v>
      </c>
      <c r="G52" s="75">
        <v>1389</v>
      </c>
      <c r="H52" s="75">
        <v>1290</v>
      </c>
      <c r="I52" s="75">
        <v>1178</v>
      </c>
      <c r="J52" s="75">
        <v>1104</v>
      </c>
      <c r="K52" s="75">
        <v>1151</v>
      </c>
      <c r="L52" s="75">
        <v>1156</v>
      </c>
      <c r="M52" s="57">
        <v>985</v>
      </c>
      <c r="O52" s="56"/>
      <c r="P52" s="57" t="s">
        <v>23</v>
      </c>
      <c r="Q52" s="75">
        <f>Q29-C29-Dati_OPTN!$C52</f>
        <v>9135</v>
      </c>
      <c r="R52" s="75">
        <f>R29-D29-Dati_OPTN!$D52</f>
        <v>9563</v>
      </c>
      <c r="S52" s="75">
        <f>S29-E29-Dati_OPTN!$E52</f>
        <v>9744</v>
      </c>
      <c r="T52" s="75">
        <f>T29-F29-Dati_OPTN!$F52</f>
        <v>9753</v>
      </c>
      <c r="U52" s="75">
        <f>U29-G29-Dati_OPTN!$G52</f>
        <v>9360</v>
      </c>
      <c r="V52" s="75">
        <f>V29-H29-Dati_OPTN!$H52</f>
        <v>8117</v>
      </c>
      <c r="W52" s="75">
        <f>W29-I29-Dati_OPTN!$I52</f>
        <v>7091</v>
      </c>
      <c r="X52" s="75">
        <f>X29-J29-Dati_OPTN!$J52</f>
        <v>6606</v>
      </c>
      <c r="Y52" s="75">
        <f>Y29-K29-Dati_OPTN!$K52</f>
        <v>6017</v>
      </c>
      <c r="Z52" s="75">
        <f>Z29-L29-Dati_OPTN!$L52</f>
        <v>5381</v>
      </c>
      <c r="AA52" s="57">
        <f>AA29-M29-Dati_OPTN!$M52</f>
        <v>4968</v>
      </c>
    </row>
    <row r="53" spans="1:27" x14ac:dyDescent="0.25">
      <c r="A53" s="56" t="s">
        <v>24</v>
      </c>
      <c r="B53" s="57" t="s">
        <v>17</v>
      </c>
      <c r="C53" s="75">
        <v>10616</v>
      </c>
      <c r="D53" s="75">
        <v>9523</v>
      </c>
      <c r="E53" s="75">
        <v>8995</v>
      </c>
      <c r="F53" s="75">
        <v>8612</v>
      </c>
      <c r="G53" s="75">
        <v>8088</v>
      </c>
      <c r="H53" s="75">
        <v>7659</v>
      </c>
      <c r="I53" s="75">
        <v>7631</v>
      </c>
      <c r="J53" s="75">
        <v>7314</v>
      </c>
      <c r="K53" s="75">
        <v>7606</v>
      </c>
      <c r="L53" s="75">
        <v>7637</v>
      </c>
      <c r="M53" s="57">
        <v>7604</v>
      </c>
      <c r="O53" s="56" t="s">
        <v>24</v>
      </c>
      <c r="P53" s="57" t="s">
        <v>17</v>
      </c>
      <c r="Q53" s="75">
        <f>Q30-C30-Dati_OPTN!$C53</f>
        <v>5714</v>
      </c>
      <c r="R53" s="75">
        <f>R30-D30-Dati_OPTN!$D53</f>
        <v>5886</v>
      </c>
      <c r="S53" s="75">
        <f>S30-E30-Dati_OPTN!$E53</f>
        <v>6044</v>
      </c>
      <c r="T53" s="75">
        <f>T30-F30-Dati_OPTN!$F53</f>
        <v>5964</v>
      </c>
      <c r="U53" s="75">
        <f>U30-G30-Dati_OPTN!$G53</f>
        <v>5820</v>
      </c>
      <c r="V53" s="75">
        <f>V30-H30-Dati_OPTN!$H53</f>
        <v>4963</v>
      </c>
      <c r="W53" s="75">
        <f>W30-I30-Dati_OPTN!$I53</f>
        <v>4313</v>
      </c>
      <c r="X53" s="75">
        <f>X30-J30-Dati_OPTN!$J53</f>
        <v>4005</v>
      </c>
      <c r="Y53" s="75">
        <f>Y30-K30-Dati_OPTN!$K53</f>
        <v>3642</v>
      </c>
      <c r="Z53" s="75">
        <f>Z30-L30-Dati_OPTN!$L53</f>
        <v>3305</v>
      </c>
      <c r="AA53" s="57">
        <f>AA30-M30-Dati_OPTN!$M53</f>
        <v>3006</v>
      </c>
    </row>
    <row r="54" spans="1:27" x14ac:dyDescent="0.25">
      <c r="A54" s="56"/>
      <c r="B54" s="57" t="s">
        <v>19</v>
      </c>
      <c r="C54" s="75">
        <v>7</v>
      </c>
      <c r="D54" s="75">
        <v>7</v>
      </c>
      <c r="E54" s="75">
        <v>4</v>
      </c>
      <c r="F54" s="75">
        <v>11</v>
      </c>
      <c r="G54" s="75">
        <v>8</v>
      </c>
      <c r="H54" s="75">
        <v>8</v>
      </c>
      <c r="I54" s="75">
        <v>17</v>
      </c>
      <c r="J54" s="75">
        <v>8</v>
      </c>
      <c r="K54" s="75">
        <v>18</v>
      </c>
      <c r="L54" s="75">
        <v>12</v>
      </c>
      <c r="M54" s="57">
        <v>23</v>
      </c>
      <c r="O54" s="56"/>
      <c r="P54" s="57" t="s">
        <v>19</v>
      </c>
      <c r="Q54" s="75">
        <f>Q31-C31-Dati_OPTN!$C54</f>
        <v>0</v>
      </c>
      <c r="R54" s="75">
        <f>R31-D31-Dati_OPTN!$D54</f>
        <v>0</v>
      </c>
      <c r="S54" s="75">
        <f>S31-E31-Dati_OPTN!$E54</f>
        <v>2</v>
      </c>
      <c r="T54" s="75">
        <f>T31-F31-Dati_OPTN!$F54</f>
        <v>5</v>
      </c>
      <c r="U54" s="75">
        <f>U31-G31-Dati_OPTN!$G54</f>
        <v>2</v>
      </c>
      <c r="V54" s="75">
        <f>V31-H31-Dati_OPTN!$H54</f>
        <v>5</v>
      </c>
      <c r="W54" s="75">
        <f>W31-I31-Dati_OPTN!$I54</f>
        <v>0</v>
      </c>
      <c r="X54" s="75">
        <f>X31-J31-Dati_OPTN!$J54</f>
        <v>2</v>
      </c>
      <c r="Y54" s="75">
        <f>Y31-K31-Dati_OPTN!$K54</f>
        <v>5</v>
      </c>
      <c r="Z54" s="75">
        <f>Z31-L31-Dati_OPTN!$L54</f>
        <v>4</v>
      </c>
      <c r="AA54" s="57">
        <f>AA31-M31-Dati_OPTN!$M54</f>
        <v>10</v>
      </c>
    </row>
    <row r="55" spans="1:27" x14ac:dyDescent="0.25">
      <c r="A55" s="56"/>
      <c r="B55" s="57" t="s">
        <v>21</v>
      </c>
      <c r="C55" s="75">
        <v>9814</v>
      </c>
      <c r="D55" s="75">
        <v>8761</v>
      </c>
      <c r="E55" s="75">
        <v>8280</v>
      </c>
      <c r="F55" s="75">
        <v>7896</v>
      </c>
      <c r="G55" s="75">
        <v>7427</v>
      </c>
      <c r="H55" s="75">
        <v>6944</v>
      </c>
      <c r="I55" s="75">
        <v>6876</v>
      </c>
      <c r="J55" s="75">
        <v>6588</v>
      </c>
      <c r="K55" s="75">
        <v>6785</v>
      </c>
      <c r="L55" s="75">
        <v>6679</v>
      </c>
      <c r="M55" s="57">
        <v>6642</v>
      </c>
      <c r="O55" s="56"/>
      <c r="P55" s="57" t="s">
        <v>21</v>
      </c>
      <c r="Q55" s="75">
        <f>Q32-C32-Dati_OPTN!$C55</f>
        <v>1564</v>
      </c>
      <c r="R55" s="75">
        <f>R32-D32-Dati_OPTN!$D55</f>
        <v>1518</v>
      </c>
      <c r="S55" s="75">
        <f>S32-E32-Dati_OPTN!$E55</f>
        <v>1566</v>
      </c>
      <c r="T55" s="75">
        <f>T32-F32-Dati_OPTN!$F55</f>
        <v>1493</v>
      </c>
      <c r="U55" s="75">
        <f>U32-G32-Dati_OPTN!$G55</f>
        <v>1581</v>
      </c>
      <c r="V55" s="75">
        <f>V32-H32-Dati_OPTN!$H55</f>
        <v>1407</v>
      </c>
      <c r="W55" s="75">
        <f>W32-I32-Dati_OPTN!$I55</f>
        <v>1360</v>
      </c>
      <c r="X55" s="75">
        <f>X32-J32-Dati_OPTN!$J55</f>
        <v>1307</v>
      </c>
      <c r="Y55" s="75">
        <f>Y32-K32-Dati_OPTN!$K55</f>
        <v>1298</v>
      </c>
      <c r="Z55" s="75">
        <f>Z32-L32-Dati_OPTN!$L55</f>
        <v>1301</v>
      </c>
      <c r="AA55" s="57">
        <f>AA32-M32-Dati_OPTN!$M55</f>
        <v>1219</v>
      </c>
    </row>
    <row r="56" spans="1:27" x14ac:dyDescent="0.25">
      <c r="A56" s="56"/>
      <c r="B56" s="57" t="s">
        <v>23</v>
      </c>
      <c r="C56" s="75">
        <v>753</v>
      </c>
      <c r="D56" s="75">
        <v>717</v>
      </c>
      <c r="E56" s="75">
        <v>670</v>
      </c>
      <c r="F56" s="75">
        <v>663</v>
      </c>
      <c r="G56" s="75">
        <v>592</v>
      </c>
      <c r="H56" s="75">
        <v>548</v>
      </c>
      <c r="I56" s="75">
        <v>508</v>
      </c>
      <c r="J56" s="75">
        <v>441</v>
      </c>
      <c r="K56" s="75">
        <v>482</v>
      </c>
      <c r="L56" s="75">
        <v>516</v>
      </c>
      <c r="M56" s="57">
        <v>436</v>
      </c>
      <c r="O56" s="56"/>
      <c r="P56" s="57" t="s">
        <v>23</v>
      </c>
      <c r="Q56" s="75">
        <f>Q33-C33-Dati_OPTN!$C56</f>
        <v>4736</v>
      </c>
      <c r="R56" s="75">
        <f>R33-D33-Dati_OPTN!$D56</f>
        <v>4925</v>
      </c>
      <c r="S56" s="75">
        <f>S33-E33-Dati_OPTN!$E56</f>
        <v>5008</v>
      </c>
      <c r="T56" s="75">
        <f>T33-F33-Dati_OPTN!$F56</f>
        <v>4999</v>
      </c>
      <c r="U56" s="75">
        <f>U33-G33-Dati_OPTN!$G56</f>
        <v>4755</v>
      </c>
      <c r="V56" s="75">
        <f>V33-H33-Dati_OPTN!$H56</f>
        <v>4142</v>
      </c>
      <c r="W56" s="75">
        <f>W33-I33-Dati_OPTN!$I56</f>
        <v>3577</v>
      </c>
      <c r="X56" s="75">
        <f>X33-J33-Dati_OPTN!$J56</f>
        <v>3309</v>
      </c>
      <c r="Y56" s="75">
        <f>Y33-K33-Dati_OPTN!$K56</f>
        <v>3013</v>
      </c>
      <c r="Z56" s="75">
        <f>Z33-L33-Dati_OPTN!$L56</f>
        <v>2757</v>
      </c>
      <c r="AA56" s="57">
        <f>AA33-M33-Dati_OPTN!$M56</f>
        <v>2576</v>
      </c>
    </row>
    <row r="57" spans="1:27" x14ac:dyDescent="0.25">
      <c r="A57" s="56" t="s">
        <v>25</v>
      </c>
      <c r="B57" s="57" t="s">
        <v>17</v>
      </c>
      <c r="C57" s="75">
        <v>8372</v>
      </c>
      <c r="D57" s="75">
        <v>7553</v>
      </c>
      <c r="E57" s="75">
        <v>7214</v>
      </c>
      <c r="F57" s="75">
        <v>7001</v>
      </c>
      <c r="G57" s="75">
        <v>6470</v>
      </c>
      <c r="H57" s="75">
        <v>6364</v>
      </c>
      <c r="I57" s="75">
        <v>6254</v>
      </c>
      <c r="J57" s="75">
        <v>6150</v>
      </c>
      <c r="K57" s="75">
        <v>6227</v>
      </c>
      <c r="L57" s="75">
        <v>6124</v>
      </c>
      <c r="M57" s="57">
        <v>6236</v>
      </c>
      <c r="O57" s="56" t="s">
        <v>25</v>
      </c>
      <c r="P57" s="57" t="s">
        <v>17</v>
      </c>
      <c r="Q57" s="75">
        <f>Q34-C34-Dati_OPTN!$C57</f>
        <v>3159</v>
      </c>
      <c r="R57" s="75">
        <f>R34-D34-Dati_OPTN!$D57</f>
        <v>3344</v>
      </c>
      <c r="S57" s="75">
        <f>S34-E34-Dati_OPTN!$E57</f>
        <v>3401</v>
      </c>
      <c r="T57" s="75">
        <f>T34-F34-Dati_OPTN!$F57</f>
        <v>3443</v>
      </c>
      <c r="U57" s="75">
        <f>U34-G34-Dati_OPTN!$G57</f>
        <v>3324</v>
      </c>
      <c r="V57" s="75">
        <f>V34-H34-Dati_OPTN!$H57</f>
        <v>2854</v>
      </c>
      <c r="W57" s="75">
        <f>W34-I34-Dati_OPTN!$I57</f>
        <v>2482</v>
      </c>
      <c r="X57" s="75">
        <f>X34-J34-Dati_OPTN!$J57</f>
        <v>2291</v>
      </c>
      <c r="Y57" s="75">
        <f>Y34-K34-Dati_OPTN!$K57</f>
        <v>2106</v>
      </c>
      <c r="Z57" s="75">
        <f>Z34-L34-Dati_OPTN!$L57</f>
        <v>1755</v>
      </c>
      <c r="AA57" s="57">
        <f>AA34-M34-Dati_OPTN!$M57</f>
        <v>1546</v>
      </c>
    </row>
    <row r="58" spans="1:27" x14ac:dyDescent="0.25">
      <c r="A58" s="56"/>
      <c r="B58" s="57" t="s">
        <v>19</v>
      </c>
      <c r="C58" s="75">
        <v>5</v>
      </c>
      <c r="D58" s="75">
        <v>2</v>
      </c>
      <c r="E58" s="75">
        <v>4</v>
      </c>
      <c r="F58" s="75">
        <v>2</v>
      </c>
      <c r="G58" s="75">
        <v>4</v>
      </c>
      <c r="H58" s="75">
        <v>9</v>
      </c>
      <c r="I58" s="75">
        <v>4</v>
      </c>
      <c r="J58" s="75">
        <v>8</v>
      </c>
      <c r="K58" s="75">
        <v>8</v>
      </c>
      <c r="L58" s="75">
        <v>14</v>
      </c>
      <c r="M58" s="57">
        <v>10</v>
      </c>
      <c r="O58" s="56"/>
      <c r="P58" s="57" t="s">
        <v>19</v>
      </c>
      <c r="Q58" s="75">
        <f>Q35-C35-Dati_OPTN!$C58</f>
        <v>2</v>
      </c>
      <c r="R58" s="75">
        <f>R35-D35-Dati_OPTN!$D58</f>
        <v>0</v>
      </c>
      <c r="S58" s="75">
        <f>S35-E35-Dati_OPTN!$E58</f>
        <v>0</v>
      </c>
      <c r="T58" s="75">
        <f>T35-F35-Dati_OPTN!$F58</f>
        <v>1</v>
      </c>
      <c r="U58" s="75">
        <f>U35-G35-Dati_OPTN!$G58</f>
        <v>0</v>
      </c>
      <c r="V58" s="75">
        <f>V35-H35-Dati_OPTN!$H58</f>
        <v>0</v>
      </c>
      <c r="W58" s="75">
        <f>W35-I35-Dati_OPTN!$I58</f>
        <v>3</v>
      </c>
      <c r="X58" s="75">
        <f>X35-J35-Dati_OPTN!$J58</f>
        <v>1</v>
      </c>
      <c r="Y58" s="75">
        <f>Y35-K35-Dati_OPTN!$K58</f>
        <v>2</v>
      </c>
      <c r="Z58" s="75">
        <f>Z35-L35-Dati_OPTN!$L58</f>
        <v>3</v>
      </c>
      <c r="AA58" s="57">
        <f>AA35-M35-Dati_OPTN!$M58</f>
        <v>1</v>
      </c>
    </row>
    <row r="59" spans="1:27" x14ac:dyDescent="0.25">
      <c r="A59" s="56"/>
      <c r="B59" s="57" t="s">
        <v>21</v>
      </c>
      <c r="C59" s="75">
        <v>7614</v>
      </c>
      <c r="D59" s="75">
        <v>6801</v>
      </c>
      <c r="E59" s="75">
        <v>6506</v>
      </c>
      <c r="F59" s="75">
        <v>6367</v>
      </c>
      <c r="G59" s="75">
        <v>5863</v>
      </c>
      <c r="H59" s="75">
        <v>5699</v>
      </c>
      <c r="I59" s="75">
        <v>5526</v>
      </c>
      <c r="J59" s="75">
        <v>5439</v>
      </c>
      <c r="K59" s="75">
        <v>5422</v>
      </c>
      <c r="L59" s="75">
        <v>5283</v>
      </c>
      <c r="M59" s="57">
        <v>5358</v>
      </c>
      <c r="O59" s="56"/>
      <c r="P59" s="57" t="s">
        <v>21</v>
      </c>
      <c r="Q59" s="75">
        <f>Q36-C36-Dati_OPTN!$C59</f>
        <v>864</v>
      </c>
      <c r="R59" s="75">
        <f>R36-D36-Dati_OPTN!$D59</f>
        <v>840</v>
      </c>
      <c r="S59" s="75">
        <f>S36-E36-Dati_OPTN!$E59</f>
        <v>917</v>
      </c>
      <c r="T59" s="75">
        <f>T36-F36-Dati_OPTN!$F59</f>
        <v>847</v>
      </c>
      <c r="U59" s="75">
        <f>U36-G36-Dati_OPTN!$G59</f>
        <v>842</v>
      </c>
      <c r="V59" s="75">
        <f>V36-H36-Dati_OPTN!$H59</f>
        <v>810</v>
      </c>
      <c r="W59" s="75">
        <f>W36-I36-Dati_OPTN!$I59</f>
        <v>835</v>
      </c>
      <c r="X59" s="75">
        <f>X36-J36-Dati_OPTN!$J59</f>
        <v>756</v>
      </c>
      <c r="Y59" s="75">
        <f>Y36-K36-Dati_OPTN!$K59</f>
        <v>759</v>
      </c>
      <c r="Z59" s="75">
        <f>Z36-L36-Dati_OPTN!$L59</f>
        <v>717</v>
      </c>
      <c r="AA59" s="57">
        <f>AA36-M36-Dati_OPTN!$M59</f>
        <v>749</v>
      </c>
    </row>
    <row r="60" spans="1:27" x14ac:dyDescent="0.25">
      <c r="A60" s="56"/>
      <c r="B60" s="57" t="s">
        <v>23</v>
      </c>
      <c r="C60" s="75">
        <v>715</v>
      </c>
      <c r="D60" s="75">
        <v>708</v>
      </c>
      <c r="E60" s="75">
        <v>661</v>
      </c>
      <c r="F60" s="75">
        <v>597</v>
      </c>
      <c r="G60" s="75">
        <v>557</v>
      </c>
      <c r="H60" s="75">
        <v>514</v>
      </c>
      <c r="I60" s="75">
        <v>485</v>
      </c>
      <c r="J60" s="75">
        <v>460</v>
      </c>
      <c r="K60" s="75">
        <v>485</v>
      </c>
      <c r="L60" s="75">
        <v>434</v>
      </c>
      <c r="M60" s="57">
        <v>387</v>
      </c>
      <c r="O60" s="56"/>
      <c r="P60" s="57" t="s">
        <v>23</v>
      </c>
      <c r="Q60" s="75">
        <f>Q37-C37-Dati_OPTN!$C60</f>
        <v>2670</v>
      </c>
      <c r="R60" s="75">
        <f>R37-D37-Dati_OPTN!$D60</f>
        <v>2872</v>
      </c>
      <c r="S60" s="75">
        <f>S37-E37-Dati_OPTN!$E60</f>
        <v>2841</v>
      </c>
      <c r="T60" s="75">
        <f>T37-F37-Dati_OPTN!$F60</f>
        <v>2966</v>
      </c>
      <c r="U60" s="75">
        <f>U37-G37-Dati_OPTN!$G60</f>
        <v>2862</v>
      </c>
      <c r="V60" s="75">
        <f>V37-H37-Dati_OPTN!$H60</f>
        <v>2484</v>
      </c>
      <c r="W60" s="75">
        <f>W37-I37-Dati_OPTN!$I60</f>
        <v>2154</v>
      </c>
      <c r="X60" s="75">
        <f>X37-J37-Dati_OPTN!$J60</f>
        <v>2028</v>
      </c>
      <c r="Y60" s="75">
        <f>Y37-K37-Dati_OPTN!$K60</f>
        <v>1892</v>
      </c>
      <c r="Z60" s="75">
        <f>Z37-L37-Dati_OPTN!$L60</f>
        <v>1644</v>
      </c>
      <c r="AA60" s="57">
        <f>AA37-M37-Dati_OPTN!$M60</f>
        <v>1494</v>
      </c>
    </row>
    <row r="61" spans="1:27" x14ac:dyDescent="0.25">
      <c r="A61" s="56" t="s">
        <v>26</v>
      </c>
      <c r="B61" s="57" t="s">
        <v>17</v>
      </c>
      <c r="C61" s="75">
        <v>3233</v>
      </c>
      <c r="D61" s="75">
        <v>3061</v>
      </c>
      <c r="E61" s="75">
        <v>2672</v>
      </c>
      <c r="F61" s="75">
        <v>2587</v>
      </c>
      <c r="G61" s="75">
        <v>2366</v>
      </c>
      <c r="H61" s="75">
        <v>2284</v>
      </c>
      <c r="I61" s="75">
        <v>2196</v>
      </c>
      <c r="J61" s="75">
        <v>2164</v>
      </c>
      <c r="K61" s="75">
        <v>2164</v>
      </c>
      <c r="L61" s="75">
        <v>2314</v>
      </c>
      <c r="M61" s="57">
        <v>2191</v>
      </c>
      <c r="O61" s="56" t="s">
        <v>26</v>
      </c>
      <c r="P61" s="57" t="s">
        <v>17</v>
      </c>
      <c r="Q61" s="75">
        <f>Q38-C38-Dati_OPTN!$C61</f>
        <v>1791</v>
      </c>
      <c r="R61" s="75">
        <f>R38-D38-Dati_OPTN!$D61</f>
        <v>1799</v>
      </c>
      <c r="S61" s="75">
        <f>S38-E38-Dati_OPTN!$E61</f>
        <v>1868</v>
      </c>
      <c r="T61" s="75">
        <f>T38-F38-Dati_OPTN!$F61</f>
        <v>1778</v>
      </c>
      <c r="U61" s="75">
        <f>U38-G38-Dati_OPTN!$G61</f>
        <v>1814</v>
      </c>
      <c r="V61" s="75">
        <f>V38-H38-Dati_OPTN!$H61</f>
        <v>1455</v>
      </c>
      <c r="W61" s="75">
        <f>W38-I38-Dati_OPTN!$I61</f>
        <v>1359</v>
      </c>
      <c r="X61" s="75">
        <f>X38-J38-Dati_OPTN!$J61</f>
        <v>1244</v>
      </c>
      <c r="Y61" s="75">
        <f>Y38-K38-Dati_OPTN!$K61</f>
        <v>1153</v>
      </c>
      <c r="Z61" s="75">
        <f>Z38-L38-Dati_OPTN!$L61</f>
        <v>1008</v>
      </c>
      <c r="AA61" s="57">
        <f>AA38-M38-Dati_OPTN!$M61</f>
        <v>903</v>
      </c>
    </row>
    <row r="62" spans="1:27" x14ac:dyDescent="0.25">
      <c r="A62" s="56"/>
      <c r="B62" s="57" t="s">
        <v>19</v>
      </c>
      <c r="C62" s="75">
        <v>2</v>
      </c>
      <c r="D62" s="75">
        <v>4</v>
      </c>
      <c r="E62" s="75">
        <v>2</v>
      </c>
      <c r="F62" s="75">
        <v>5</v>
      </c>
      <c r="G62" s="75">
        <v>4</v>
      </c>
      <c r="H62" s="75">
        <v>6</v>
      </c>
      <c r="I62" s="75">
        <v>5</v>
      </c>
      <c r="J62" s="75">
        <v>1</v>
      </c>
      <c r="K62" s="75">
        <v>4</v>
      </c>
      <c r="L62" s="75">
        <v>10</v>
      </c>
      <c r="M62" s="57">
        <v>6</v>
      </c>
      <c r="O62" s="56"/>
      <c r="P62" s="57" t="s">
        <v>19</v>
      </c>
      <c r="Q62" s="75">
        <f>Q39-C39-Dati_OPTN!$C62</f>
        <v>0</v>
      </c>
      <c r="R62" s="75">
        <f>R39-D39-Dati_OPTN!$D62</f>
        <v>0</v>
      </c>
      <c r="S62" s="75">
        <f>S39-E39-Dati_OPTN!$E62</f>
        <v>0</v>
      </c>
      <c r="T62" s="75">
        <f>T39-F39-Dati_OPTN!$F62</f>
        <v>0</v>
      </c>
      <c r="U62" s="75">
        <f>U39-G39-Dati_OPTN!$G62</f>
        <v>0</v>
      </c>
      <c r="V62" s="75">
        <f>V39-H39-Dati_OPTN!$H62</f>
        <v>0</v>
      </c>
      <c r="W62" s="75">
        <f>W39-I39-Dati_OPTN!$I62</f>
        <v>1</v>
      </c>
      <c r="X62" s="75">
        <f>X39-J39-Dati_OPTN!$J62</f>
        <v>0</v>
      </c>
      <c r="Y62" s="75">
        <f>Y39-K39-Dati_OPTN!$K62</f>
        <v>1</v>
      </c>
      <c r="Z62" s="75">
        <f>Z39-L39-Dati_OPTN!$L62</f>
        <v>2</v>
      </c>
      <c r="AA62" s="57">
        <f>AA39-M39-Dati_OPTN!$M62</f>
        <v>1</v>
      </c>
    </row>
    <row r="63" spans="1:27" x14ac:dyDescent="0.25">
      <c r="A63" s="56"/>
      <c r="B63" s="57" t="s">
        <v>21</v>
      </c>
      <c r="C63" s="75">
        <v>2963</v>
      </c>
      <c r="D63" s="75">
        <v>2827</v>
      </c>
      <c r="E63" s="75">
        <v>2470</v>
      </c>
      <c r="F63" s="75">
        <v>2377</v>
      </c>
      <c r="G63" s="75">
        <v>2178</v>
      </c>
      <c r="H63" s="75">
        <v>2074</v>
      </c>
      <c r="I63" s="75">
        <v>1977</v>
      </c>
      <c r="J63" s="75">
        <v>1943</v>
      </c>
      <c r="K63" s="75">
        <v>1945</v>
      </c>
      <c r="L63" s="75">
        <v>2041</v>
      </c>
      <c r="M63" s="57">
        <v>1919</v>
      </c>
      <c r="O63" s="56"/>
      <c r="P63" s="57" t="s">
        <v>21</v>
      </c>
      <c r="Q63" s="75">
        <f>Q40-C40-Dati_OPTN!$C63</f>
        <v>478</v>
      </c>
      <c r="R63" s="75">
        <f>R40-D40-Dati_OPTN!$D63</f>
        <v>478</v>
      </c>
      <c r="S63" s="75">
        <f>S40-E40-Dati_OPTN!$E63</f>
        <v>457</v>
      </c>
      <c r="T63" s="75">
        <f>T40-F40-Dati_OPTN!$F63</f>
        <v>429</v>
      </c>
      <c r="U63" s="75">
        <f>U40-G40-Dati_OPTN!$G63</f>
        <v>525</v>
      </c>
      <c r="V63" s="75">
        <f>V40-H40-Dati_OPTN!$H63</f>
        <v>357</v>
      </c>
      <c r="W63" s="75">
        <f>W40-I40-Dati_OPTN!$I63</f>
        <v>439</v>
      </c>
      <c r="X63" s="75">
        <f>X40-J40-Dati_OPTN!$J63</f>
        <v>380</v>
      </c>
      <c r="Y63" s="75">
        <f>Y40-K40-Dati_OPTN!$K63</f>
        <v>385</v>
      </c>
      <c r="Z63" s="75">
        <f>Z40-L40-Dati_OPTN!$L63</f>
        <v>379</v>
      </c>
      <c r="AA63" s="57">
        <f>AA40-M40-Dati_OPTN!$M63</f>
        <v>372</v>
      </c>
    </row>
    <row r="64" spans="1:27" x14ac:dyDescent="0.25">
      <c r="A64" s="56"/>
      <c r="B64" s="57" t="s">
        <v>23</v>
      </c>
      <c r="C64" s="75">
        <v>257</v>
      </c>
      <c r="D64" s="75">
        <v>217</v>
      </c>
      <c r="E64" s="75">
        <v>185</v>
      </c>
      <c r="F64" s="75">
        <v>185</v>
      </c>
      <c r="G64" s="75">
        <v>172</v>
      </c>
      <c r="H64" s="75">
        <v>173</v>
      </c>
      <c r="I64" s="75">
        <v>136</v>
      </c>
      <c r="J64" s="75">
        <v>143</v>
      </c>
      <c r="K64" s="75">
        <v>134</v>
      </c>
      <c r="L64" s="75">
        <v>149</v>
      </c>
      <c r="M64" s="57">
        <v>120</v>
      </c>
      <c r="O64" s="56"/>
      <c r="P64" s="57" t="s">
        <v>23</v>
      </c>
      <c r="Q64" s="75">
        <f>Q41-C41-Dati_OPTN!$C64</f>
        <v>1498</v>
      </c>
      <c r="R64" s="75">
        <f>R41-D41-Dati_OPTN!$D64</f>
        <v>1499</v>
      </c>
      <c r="S64" s="75">
        <f>S41-E41-Dati_OPTN!$E64</f>
        <v>1584</v>
      </c>
      <c r="T64" s="75">
        <f>T41-F41-Dati_OPTN!$F64</f>
        <v>1496</v>
      </c>
      <c r="U64" s="75">
        <f>U41-G41-Dati_OPTN!$G64</f>
        <v>1450</v>
      </c>
      <c r="V64" s="75">
        <f>V41-H41-Dati_OPTN!$H64</f>
        <v>1231</v>
      </c>
      <c r="W64" s="75">
        <f>W41-I41-Dati_OPTN!$I64</f>
        <v>1116</v>
      </c>
      <c r="X64" s="75">
        <f>X41-J41-Dati_OPTN!$J64</f>
        <v>1056</v>
      </c>
      <c r="Y64" s="75">
        <f>Y41-K41-Dati_OPTN!$K64</f>
        <v>940</v>
      </c>
      <c r="Z64" s="75">
        <f>Z41-L41-Dati_OPTN!$L64</f>
        <v>845</v>
      </c>
      <c r="AA64" s="57">
        <f>AA41-M41-Dati_OPTN!$M64</f>
        <v>751</v>
      </c>
    </row>
    <row r="65" spans="1:27" x14ac:dyDescent="0.25">
      <c r="A65" s="56" t="s">
        <v>27</v>
      </c>
      <c r="B65" s="57" t="s">
        <v>17</v>
      </c>
      <c r="C65" s="75">
        <v>1180</v>
      </c>
      <c r="D65" s="75">
        <v>1030</v>
      </c>
      <c r="E65" s="75">
        <v>968</v>
      </c>
      <c r="F65" s="75">
        <v>860</v>
      </c>
      <c r="G65" s="75">
        <v>954</v>
      </c>
      <c r="H65" s="75">
        <v>801</v>
      </c>
      <c r="I65" s="75">
        <v>815</v>
      </c>
      <c r="J65" s="75">
        <v>859</v>
      </c>
      <c r="K65" s="75">
        <v>819</v>
      </c>
      <c r="L65" s="75">
        <v>825</v>
      </c>
      <c r="M65" s="57">
        <v>798</v>
      </c>
      <c r="O65" s="56" t="s">
        <v>27</v>
      </c>
      <c r="P65" s="57" t="s">
        <v>17</v>
      </c>
      <c r="Q65" s="75">
        <f>Q42-C42-Dati_OPTN!$C65</f>
        <v>273</v>
      </c>
      <c r="R65" s="75">
        <f>R42-D42-Dati_OPTN!$D65</f>
        <v>318</v>
      </c>
      <c r="S65" s="75">
        <f>S42-E42-Dati_OPTN!$E65</f>
        <v>346</v>
      </c>
      <c r="T65" s="75">
        <f>T42-F42-Dati_OPTN!$F65</f>
        <v>319</v>
      </c>
      <c r="U65" s="75">
        <f>U42-G42-Dati_OPTN!$G65</f>
        <v>332</v>
      </c>
      <c r="V65" s="75">
        <f>V42-H42-Dati_OPTN!$H65</f>
        <v>271</v>
      </c>
      <c r="W65" s="75">
        <f>W42-I42-Dati_OPTN!$I65</f>
        <v>264</v>
      </c>
      <c r="X65" s="75">
        <f>X42-J42-Dati_OPTN!$J65</f>
        <v>220</v>
      </c>
      <c r="Y65" s="75">
        <f>Y42-K42-Dati_OPTN!$K65</f>
        <v>207</v>
      </c>
      <c r="Z65" s="75">
        <f>Z42-L42-Dati_OPTN!$L65</f>
        <v>156</v>
      </c>
      <c r="AA65" s="57">
        <f>AA42-M42-Dati_OPTN!$M65</f>
        <v>132</v>
      </c>
    </row>
    <row r="66" spans="1:27" x14ac:dyDescent="0.25">
      <c r="A66" s="56"/>
      <c r="B66" s="57" t="s">
        <v>19</v>
      </c>
      <c r="C66" s="75">
        <v>3</v>
      </c>
      <c r="D66" s="75">
        <v>0</v>
      </c>
      <c r="E66" s="75">
        <v>1</v>
      </c>
      <c r="F66" s="75">
        <v>0</v>
      </c>
      <c r="G66" s="75">
        <v>0</v>
      </c>
      <c r="H66" s="75">
        <v>1</v>
      </c>
      <c r="I66" s="75">
        <v>2</v>
      </c>
      <c r="J66" s="75">
        <v>0</v>
      </c>
      <c r="K66" s="75">
        <v>2</v>
      </c>
      <c r="L66" s="75">
        <v>0</v>
      </c>
      <c r="M66" s="57">
        <v>1</v>
      </c>
      <c r="O66" s="56"/>
      <c r="P66" s="57" t="s">
        <v>19</v>
      </c>
      <c r="Q66" s="75">
        <f>Q43-C43-Dati_OPTN!$C66</f>
        <v>0</v>
      </c>
      <c r="R66" s="75">
        <f>R43-D43-Dati_OPTN!$D66</f>
        <v>1</v>
      </c>
      <c r="S66" s="75">
        <f>S43-E43-Dati_OPTN!$E66</f>
        <v>0</v>
      </c>
      <c r="T66" s="75">
        <f>T43-F43-Dati_OPTN!$F66</f>
        <v>2</v>
      </c>
      <c r="U66" s="75">
        <f>U43-G43-Dati_OPTN!$G66</f>
        <v>0</v>
      </c>
      <c r="V66" s="75">
        <f>V43-H43-Dati_OPTN!$H66</f>
        <v>0</v>
      </c>
      <c r="W66" s="75">
        <f>W43-I43-Dati_OPTN!$I66</f>
        <v>0</v>
      </c>
      <c r="X66" s="75">
        <f>X43-J43-Dati_OPTN!$J66</f>
        <v>0</v>
      </c>
      <c r="Y66" s="75">
        <f>Y43-K43-Dati_OPTN!$K66</f>
        <v>0</v>
      </c>
      <c r="Z66" s="75">
        <f>Z43-L43-Dati_OPTN!$L66</f>
        <v>0</v>
      </c>
      <c r="AA66" s="57">
        <f>AA43-M43-Dati_OPTN!$M66</f>
        <v>0</v>
      </c>
    </row>
    <row r="67" spans="1:27" x14ac:dyDescent="0.25">
      <c r="A67" s="56"/>
      <c r="B67" s="57" t="s">
        <v>21</v>
      </c>
      <c r="C67" s="75">
        <v>1100</v>
      </c>
      <c r="D67" s="75">
        <v>952</v>
      </c>
      <c r="E67" s="75">
        <v>896</v>
      </c>
      <c r="F67" s="75">
        <v>797</v>
      </c>
      <c r="G67" s="75">
        <v>883</v>
      </c>
      <c r="H67" s="75">
        <v>728</v>
      </c>
      <c r="I67" s="75">
        <v>744</v>
      </c>
      <c r="J67" s="75">
        <v>773</v>
      </c>
      <c r="K67" s="75">
        <v>746</v>
      </c>
      <c r="L67" s="75">
        <v>731</v>
      </c>
      <c r="M67" s="57">
        <v>707</v>
      </c>
      <c r="O67" s="56"/>
      <c r="P67" s="57" t="s">
        <v>21</v>
      </c>
      <c r="Q67" s="75">
        <f>Q44-C44-Dati_OPTN!$C67</f>
        <v>87</v>
      </c>
      <c r="R67" s="75">
        <f>R44-D44-Dati_OPTN!$D67</f>
        <v>83</v>
      </c>
      <c r="S67" s="75">
        <f>S44-E44-Dati_OPTN!$E67</f>
        <v>71</v>
      </c>
      <c r="T67" s="75">
        <f>T44-F44-Dati_OPTN!$F67</f>
        <v>72</v>
      </c>
      <c r="U67" s="75">
        <f>U44-G44-Dati_OPTN!$G67</f>
        <v>85</v>
      </c>
      <c r="V67" s="75">
        <f>V44-H44-Dati_OPTN!$H67</f>
        <v>64</v>
      </c>
      <c r="W67" s="75">
        <f>W44-I44-Dati_OPTN!$I67</f>
        <v>75</v>
      </c>
      <c r="X67" s="75">
        <f>X44-J44-Dati_OPTN!$J67</f>
        <v>68</v>
      </c>
      <c r="Y67" s="75">
        <f>Y44-K44-Dati_OPTN!$K67</f>
        <v>82</v>
      </c>
      <c r="Z67" s="75">
        <f>Z44-L44-Dati_OPTN!$L67</f>
        <v>74</v>
      </c>
      <c r="AA67" s="57">
        <f>AA44-M44-Dati_OPTN!$M67</f>
        <v>65</v>
      </c>
    </row>
    <row r="68" spans="1:27" x14ac:dyDescent="0.25">
      <c r="A68" s="58"/>
      <c r="B68" s="59" t="s">
        <v>23</v>
      </c>
      <c r="C68" s="76">
        <v>68</v>
      </c>
      <c r="D68" s="76">
        <v>75</v>
      </c>
      <c r="E68" s="76">
        <v>70</v>
      </c>
      <c r="F68" s="76">
        <v>56</v>
      </c>
      <c r="G68" s="76">
        <v>68</v>
      </c>
      <c r="H68" s="76">
        <v>55</v>
      </c>
      <c r="I68" s="76">
        <v>49</v>
      </c>
      <c r="J68" s="76">
        <v>60</v>
      </c>
      <c r="K68" s="76">
        <v>50</v>
      </c>
      <c r="L68" s="76">
        <v>57</v>
      </c>
      <c r="M68" s="59">
        <v>42</v>
      </c>
      <c r="O68" s="58"/>
      <c r="P68" s="59" t="s">
        <v>23</v>
      </c>
      <c r="Q68" s="76">
        <f>Q45-C45-Dati_OPTN!$C68</f>
        <v>231</v>
      </c>
      <c r="R68" s="76">
        <f>R45-D45-Dati_OPTN!$D68</f>
        <v>268</v>
      </c>
      <c r="S68" s="76">
        <f>S45-E45-Dati_OPTN!$E68</f>
        <v>311</v>
      </c>
      <c r="T68" s="76">
        <f>T45-F45-Dati_OPTN!$F68</f>
        <v>292</v>
      </c>
      <c r="U68" s="76">
        <f>U45-G45-Dati_OPTN!$G68</f>
        <v>293</v>
      </c>
      <c r="V68" s="76">
        <f>V45-H45-Dati_OPTN!$H68</f>
        <v>260</v>
      </c>
      <c r="W68" s="76">
        <f>W45-I45-Dati_OPTN!$I68</f>
        <v>244</v>
      </c>
      <c r="X68" s="76">
        <f>X45-J45-Dati_OPTN!$J68</f>
        <v>213</v>
      </c>
      <c r="Y68" s="76">
        <f>Y45-K45-Dati_OPTN!$K68</f>
        <v>172</v>
      </c>
      <c r="Z68" s="76">
        <f>Z45-L45-Dati_OPTN!$L68</f>
        <v>135</v>
      </c>
      <c r="AA68" s="59">
        <f>AA45-M45-Dati_OPTN!$M68</f>
        <v>147</v>
      </c>
    </row>
    <row r="70" spans="1:27" x14ac:dyDescent="0.25">
      <c r="A70" s="81" t="s">
        <v>33</v>
      </c>
      <c r="B70" s="82"/>
      <c r="C70" s="82"/>
      <c r="D70" s="82"/>
      <c r="E70" s="83"/>
    </row>
    <row r="71" spans="1:27" x14ac:dyDescent="0.25">
      <c r="A71" s="60" t="s">
        <v>2</v>
      </c>
      <c r="B71" s="61" t="s">
        <v>34</v>
      </c>
      <c r="C71" s="62" t="s">
        <v>35</v>
      </c>
      <c r="D71" s="62" t="s">
        <v>36</v>
      </c>
      <c r="E71" s="61" t="s">
        <v>37</v>
      </c>
    </row>
    <row r="72" spans="1:27" x14ac:dyDescent="0.25">
      <c r="A72" s="56" t="s">
        <v>16</v>
      </c>
      <c r="B72" s="57">
        <v>1</v>
      </c>
      <c r="C72" s="75">
        <v>64123</v>
      </c>
      <c r="D72" s="77">
        <v>0.94599999999999995</v>
      </c>
      <c r="E72" s="78">
        <f>1-Dati_OPTN!$D72</f>
        <v>5.4000000000000048E-2</v>
      </c>
    </row>
    <row r="73" spans="1:27" x14ac:dyDescent="0.25">
      <c r="A73" s="56"/>
      <c r="B73" s="57">
        <v>3</v>
      </c>
      <c r="C73" s="75">
        <v>56240</v>
      </c>
      <c r="D73" s="77">
        <v>0.878</v>
      </c>
      <c r="E73" s="78">
        <f>1-Dati_OPTN!$D73</f>
        <v>0.122</v>
      </c>
    </row>
    <row r="74" spans="1:27" x14ac:dyDescent="0.25">
      <c r="A74" s="56"/>
      <c r="B74" s="57">
        <v>5</v>
      </c>
      <c r="C74" s="75">
        <v>47638</v>
      </c>
      <c r="D74" s="77">
        <v>0.78674999999999995</v>
      </c>
      <c r="E74" s="78">
        <f>1-Dati_OPTN!$D74</f>
        <v>0.21325000000000005</v>
      </c>
    </row>
    <row r="75" spans="1:27" x14ac:dyDescent="0.25">
      <c r="A75" s="56" t="s">
        <v>24</v>
      </c>
      <c r="B75" s="57">
        <v>1</v>
      </c>
      <c r="C75" s="75">
        <v>28779</v>
      </c>
      <c r="D75" s="77">
        <v>0.94599999999999995</v>
      </c>
      <c r="E75" s="78">
        <f>1-Dati_OPTN!$D75</f>
        <v>5.4000000000000048E-2</v>
      </c>
    </row>
    <row r="76" spans="1:27" x14ac:dyDescent="0.25">
      <c r="A76" s="56"/>
      <c r="B76" s="57">
        <v>3</v>
      </c>
      <c r="C76" s="75">
        <v>25312</v>
      </c>
      <c r="D76" s="77">
        <v>0.876</v>
      </c>
      <c r="E76" s="78">
        <f>1-Dati_OPTN!$D76</f>
        <v>0.124</v>
      </c>
    </row>
    <row r="77" spans="1:27" x14ac:dyDescent="0.25">
      <c r="A77" s="56"/>
      <c r="B77" s="57">
        <v>5</v>
      </c>
      <c r="C77" s="75">
        <v>21429</v>
      </c>
      <c r="D77" s="77">
        <v>0.78500000000000003</v>
      </c>
      <c r="E77" s="78">
        <f>1-Dati_OPTN!$D77</f>
        <v>0.21499999999999997</v>
      </c>
    </row>
    <row r="78" spans="1:27" x14ac:dyDescent="0.25">
      <c r="A78" s="56" t="s">
        <v>25</v>
      </c>
      <c r="B78" s="57">
        <v>1</v>
      </c>
      <c r="C78" s="75">
        <v>23687</v>
      </c>
      <c r="D78" s="77">
        <v>0.94699999999999995</v>
      </c>
      <c r="E78" s="78">
        <f>1-Dati_OPTN!$D78</f>
        <v>5.3000000000000047E-2</v>
      </c>
    </row>
    <row r="79" spans="1:27" x14ac:dyDescent="0.25">
      <c r="A79" s="56"/>
      <c r="B79" s="57">
        <v>3</v>
      </c>
      <c r="C79" s="75">
        <v>20747</v>
      </c>
      <c r="D79" s="77">
        <v>0.878</v>
      </c>
      <c r="E79" s="78">
        <f>1-Dati_OPTN!$D79</f>
        <v>0.122</v>
      </c>
    </row>
    <row r="80" spans="1:27" x14ac:dyDescent="0.25">
      <c r="A80" s="56"/>
      <c r="B80" s="57">
        <v>5</v>
      </c>
      <c r="C80" s="75">
        <v>17602</v>
      </c>
      <c r="D80" s="77">
        <v>0.78500000000000003</v>
      </c>
      <c r="E80" s="78">
        <f>1-Dati_OPTN!$D80</f>
        <v>0.21499999999999997</v>
      </c>
    </row>
    <row r="81" spans="1:5" x14ac:dyDescent="0.25">
      <c r="A81" s="56" t="s">
        <v>26</v>
      </c>
      <c r="B81" s="57">
        <v>1</v>
      </c>
      <c r="C81" s="75">
        <v>8436</v>
      </c>
      <c r="D81" s="77">
        <v>0.94399999999999995</v>
      </c>
      <c r="E81" s="78">
        <f>1-Dati_OPTN!$D81</f>
        <v>5.600000000000005E-2</v>
      </c>
    </row>
    <row r="82" spans="1:5" x14ac:dyDescent="0.25">
      <c r="A82" s="56"/>
      <c r="B82" s="57">
        <v>3</v>
      </c>
      <c r="C82" s="75">
        <v>7380</v>
      </c>
      <c r="D82" s="77">
        <v>0.876</v>
      </c>
      <c r="E82" s="78">
        <f>1-Dati_OPTN!$D82</f>
        <v>0.124</v>
      </c>
    </row>
    <row r="83" spans="1:5" x14ac:dyDescent="0.25">
      <c r="A83" s="56"/>
      <c r="B83" s="57">
        <v>5</v>
      </c>
      <c r="C83" s="75">
        <v>6279</v>
      </c>
      <c r="D83" s="77">
        <v>0.77600000000000002</v>
      </c>
      <c r="E83" s="78">
        <f>1-Dati_OPTN!$D83</f>
        <v>0.22399999999999998</v>
      </c>
    </row>
    <row r="84" spans="1:5" x14ac:dyDescent="0.25">
      <c r="A84" s="56" t="s">
        <v>27</v>
      </c>
      <c r="B84" s="57">
        <v>1</v>
      </c>
      <c r="C84" s="75">
        <v>3221</v>
      </c>
      <c r="D84" s="77">
        <v>0.94699999999999995</v>
      </c>
      <c r="E84" s="78">
        <f>1-Dati_OPTN!$D84</f>
        <v>5.3000000000000047E-2</v>
      </c>
    </row>
    <row r="85" spans="1:5" x14ac:dyDescent="0.25">
      <c r="A85" s="56"/>
      <c r="B85" s="57">
        <v>3</v>
      </c>
      <c r="C85" s="75">
        <v>2801</v>
      </c>
      <c r="D85" s="77">
        <v>0.88200000000000001</v>
      </c>
      <c r="E85" s="78">
        <f>1-Dati_OPTN!$D85</f>
        <v>0.11799999999999999</v>
      </c>
    </row>
    <row r="86" spans="1:5" x14ac:dyDescent="0.25">
      <c r="A86" s="58"/>
      <c r="B86" s="59">
        <v>5</v>
      </c>
      <c r="C86" s="76">
        <v>2328</v>
      </c>
      <c r="D86" s="79">
        <v>0.80100000000000005</v>
      </c>
      <c r="E86" s="80">
        <f>1-Dati_OPTN!$D86</f>
        <v>0.19899999999999995</v>
      </c>
    </row>
  </sheetData>
  <mergeCells count="7">
    <mergeCell ref="A70:E70"/>
    <mergeCell ref="A1:M1"/>
    <mergeCell ref="O1:AA1"/>
    <mergeCell ref="A24:M24"/>
    <mergeCell ref="O24:AA24"/>
    <mergeCell ref="A47:M47"/>
    <mergeCell ref="O47:AA47"/>
  </mergeCells>
  <pageMargins left="0.7" right="0.7" top="0.75" bottom="0.75" header="0.511811023622047" footer="0.511811023622047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40"/>
  <sheetViews>
    <sheetView zoomScaleNormal="100" workbookViewId="0">
      <selection activeCell="K31" sqref="K31"/>
    </sheetView>
  </sheetViews>
  <sheetFormatPr defaultColWidth="8.7109375" defaultRowHeight="15" x14ac:dyDescent="0.25"/>
  <cols>
    <col min="1" max="1" width="9.85546875" customWidth="1"/>
    <col min="2" max="2" width="16.140625" customWidth="1"/>
    <col min="3" max="3" width="13.140625" customWidth="1"/>
    <col min="4" max="4" width="11.85546875" customWidth="1"/>
    <col min="5" max="6" width="12" customWidth="1"/>
    <col min="7" max="7" width="17.42578125" customWidth="1"/>
    <col min="8" max="8" width="12.42578125" customWidth="1"/>
    <col min="9" max="9" width="13.140625" customWidth="1"/>
    <col min="13" max="13" width="13.5703125" customWidth="1"/>
  </cols>
  <sheetData>
    <row r="1" spans="1:10" x14ac:dyDescent="0.25">
      <c r="A1" s="87" t="s">
        <v>199</v>
      </c>
      <c r="B1" s="88"/>
      <c r="C1" s="88"/>
      <c r="D1" s="89"/>
      <c r="F1" s="98" t="s">
        <v>38</v>
      </c>
      <c r="G1" s="88"/>
      <c r="H1" s="89"/>
      <c r="I1" s="6"/>
      <c r="J1" s="6"/>
    </row>
    <row r="2" spans="1:10" x14ac:dyDescent="0.25">
      <c r="A2" s="94" t="s">
        <v>2</v>
      </c>
      <c r="B2" s="95" t="s">
        <v>3</v>
      </c>
      <c r="C2" s="96" t="s">
        <v>200</v>
      </c>
      <c r="D2" s="95" t="s">
        <v>39</v>
      </c>
      <c r="F2" s="94" t="s">
        <v>2</v>
      </c>
      <c r="G2" s="95" t="s">
        <v>3</v>
      </c>
      <c r="H2" s="95" t="s">
        <v>39</v>
      </c>
      <c r="I2" s="6"/>
      <c r="J2" s="6"/>
    </row>
    <row r="3" spans="1:10" x14ac:dyDescent="0.25">
      <c r="A3" s="9" t="s">
        <v>16</v>
      </c>
      <c r="B3" s="92" t="s">
        <v>17</v>
      </c>
      <c r="C3" s="77">
        <f>AVERAGE(Dati_OPTN!C3:H3)</f>
        <v>37016.166666666664</v>
      </c>
      <c r="D3" s="78">
        <f>Arrivi!$C3/365</f>
        <v>101.41415525114155</v>
      </c>
      <c r="F3" s="9" t="s">
        <v>16</v>
      </c>
      <c r="G3" s="92" t="s">
        <v>17</v>
      </c>
      <c r="H3" s="99">
        <f>Dati_OPTN!C3/365</f>
        <v>112.60273972602739</v>
      </c>
      <c r="I3" s="97"/>
    </row>
    <row r="4" spans="1:10" x14ac:dyDescent="0.25">
      <c r="A4" s="9"/>
      <c r="B4" s="92" t="s">
        <v>19</v>
      </c>
      <c r="C4" s="77">
        <f>AVERAGE(Dati_OPTN!C4:H4)</f>
        <v>37.333333333333336</v>
      </c>
      <c r="D4" s="78">
        <f>Arrivi!$C4/365</f>
        <v>0.10228310502283106</v>
      </c>
      <c r="F4" s="100"/>
      <c r="G4" s="92" t="s">
        <v>19</v>
      </c>
      <c r="H4" s="99">
        <f>Dati_OPTN!C4/365</f>
        <v>0.11232876712328767</v>
      </c>
      <c r="I4" s="97"/>
    </row>
    <row r="5" spans="1:10" x14ac:dyDescent="0.25">
      <c r="A5" s="9"/>
      <c r="B5" s="92" t="s">
        <v>21</v>
      </c>
      <c r="C5" s="77">
        <f>AVERAGE(Dati_OPTN!C5:H5)</f>
        <v>28004.833333333332</v>
      </c>
      <c r="D5" s="78">
        <f>Arrivi!$C5/365</f>
        <v>76.725570776255708</v>
      </c>
      <c r="F5" s="100"/>
      <c r="G5" s="92" t="s">
        <v>21</v>
      </c>
      <c r="H5" s="99">
        <f>Dati_OPTN!C5/365</f>
        <v>85.328767123287676</v>
      </c>
      <c r="I5" s="97"/>
    </row>
    <row r="6" spans="1:10" x14ac:dyDescent="0.25">
      <c r="A6" s="9"/>
      <c r="B6" s="92" t="s">
        <v>23</v>
      </c>
      <c r="C6" s="77">
        <f>AVERAGE(Dati_OPTN!C6:H6)</f>
        <v>9350.8333333333339</v>
      </c>
      <c r="D6" s="78">
        <f>Arrivi!$C6/365</f>
        <v>25.618721461187217</v>
      </c>
      <c r="F6" s="100"/>
      <c r="G6" s="92" t="s">
        <v>23</v>
      </c>
      <c r="H6" s="99">
        <f>Dati_OPTN!C6/365</f>
        <v>28.342465753424658</v>
      </c>
      <c r="I6" s="97"/>
    </row>
    <row r="7" spans="1:10" x14ac:dyDescent="0.25">
      <c r="A7" s="9" t="s">
        <v>24</v>
      </c>
      <c r="B7" s="92" t="s">
        <v>17</v>
      </c>
      <c r="C7" s="77">
        <f>AVERAGE(Dati_OPTN!C7:H7)</f>
        <v>18053.666666666668</v>
      </c>
      <c r="D7" s="78">
        <f>Arrivi!$C7/365</f>
        <v>49.462100456621009</v>
      </c>
      <c r="F7" s="9" t="s">
        <v>24</v>
      </c>
      <c r="G7" s="92" t="s">
        <v>17</v>
      </c>
      <c r="H7" s="99">
        <f>Dati_OPTN!C7/365</f>
        <v>55.178082191780824</v>
      </c>
      <c r="I7" s="97"/>
    </row>
    <row r="8" spans="1:10" x14ac:dyDescent="0.25">
      <c r="A8" s="9"/>
      <c r="B8" s="92" t="s">
        <v>19</v>
      </c>
      <c r="C8" s="77">
        <f>AVERAGE(Dati_OPTN!C8:H8)</f>
        <v>19</v>
      </c>
      <c r="D8" s="78">
        <f>Arrivi!$C8/365</f>
        <v>5.2054794520547946E-2</v>
      </c>
      <c r="F8" s="100"/>
      <c r="G8" s="92" t="s">
        <v>19</v>
      </c>
      <c r="H8" s="99">
        <f>Dati_OPTN!C8/365</f>
        <v>5.2054794520547946E-2</v>
      </c>
      <c r="I8" s="97"/>
    </row>
    <row r="9" spans="1:10" x14ac:dyDescent="0.25">
      <c r="A9" s="9"/>
      <c r="B9" s="92" t="s">
        <v>21</v>
      </c>
      <c r="C9" s="77">
        <f>AVERAGE(Dati_OPTN!C9:H9)</f>
        <v>13753.333333333334</v>
      </c>
      <c r="D9" s="78">
        <f>Arrivi!$C9/365</f>
        <v>37.680365296803657</v>
      </c>
      <c r="F9" s="100"/>
      <c r="G9" s="92" t="s">
        <v>21</v>
      </c>
      <c r="H9" s="99">
        <f>Dati_OPTN!C9/365</f>
        <v>42.142465753424659</v>
      </c>
      <c r="I9" s="97"/>
    </row>
    <row r="10" spans="1:10" x14ac:dyDescent="0.25">
      <c r="A10" s="9"/>
      <c r="B10" s="92" t="s">
        <v>23</v>
      </c>
      <c r="C10" s="77">
        <f>AVERAGE(Dati_OPTN!C10:H10)</f>
        <v>4465</v>
      </c>
      <c r="D10" s="78">
        <f>Arrivi!$C10/365</f>
        <v>12.232876712328768</v>
      </c>
      <c r="F10" s="100"/>
      <c r="G10" s="92" t="s">
        <v>23</v>
      </c>
      <c r="H10" s="99">
        <f>Dati_OPTN!C10/365</f>
        <v>13.526027397260274</v>
      </c>
      <c r="I10" s="97"/>
    </row>
    <row r="11" spans="1:10" x14ac:dyDescent="0.25">
      <c r="A11" s="9" t="s">
        <v>25</v>
      </c>
      <c r="B11" s="92" t="s">
        <v>17</v>
      </c>
      <c r="C11" s="77">
        <f>AVERAGE(Dati_OPTN!C11:H11)</f>
        <v>12047.166666666666</v>
      </c>
      <c r="D11" s="78">
        <f>Arrivi!$C11/365</f>
        <v>33.00593607305936</v>
      </c>
      <c r="F11" s="9" t="s">
        <v>25</v>
      </c>
      <c r="G11" s="92" t="s">
        <v>17</v>
      </c>
      <c r="H11" s="99">
        <f>Dati_OPTN!C11/365</f>
        <v>36.460273972602742</v>
      </c>
      <c r="I11" s="97"/>
    </row>
    <row r="12" spans="1:10" x14ac:dyDescent="0.25">
      <c r="A12" s="9"/>
      <c r="B12" s="92" t="s">
        <v>19</v>
      </c>
      <c r="C12" s="77">
        <f>AVERAGE(Dati_OPTN!C12:H12)</f>
        <v>10.666666666666666</v>
      </c>
      <c r="D12" s="78">
        <f>Arrivi!$C12/365</f>
        <v>2.9223744292237442E-2</v>
      </c>
      <c r="F12" s="9"/>
      <c r="G12" s="92" t="s">
        <v>19</v>
      </c>
      <c r="H12" s="99">
        <f>Dati_OPTN!C12/365</f>
        <v>2.7397260273972601E-2</v>
      </c>
      <c r="I12" s="97"/>
    </row>
    <row r="13" spans="1:10" x14ac:dyDescent="0.25">
      <c r="A13" s="9"/>
      <c r="B13" s="92" t="s">
        <v>21</v>
      </c>
      <c r="C13" s="77">
        <f>AVERAGE(Dati_OPTN!C13:H13)</f>
        <v>9003.1666666666661</v>
      </c>
      <c r="D13" s="78">
        <f>Arrivi!$C13/365</f>
        <v>24.666210045662098</v>
      </c>
      <c r="F13" s="100"/>
      <c r="G13" s="92" t="s">
        <v>21</v>
      </c>
      <c r="H13" s="99">
        <f>Dati_OPTN!C13/365</f>
        <v>27.164383561643834</v>
      </c>
      <c r="I13" s="97"/>
    </row>
    <row r="14" spans="1:10" x14ac:dyDescent="0.25">
      <c r="A14" s="9"/>
      <c r="B14" s="92" t="s">
        <v>23</v>
      </c>
      <c r="C14" s="77">
        <f>AVERAGE(Dati_OPTN!C14:H14)</f>
        <v>3154.3333333333335</v>
      </c>
      <c r="D14" s="78">
        <f>Arrivi!$C14/365</f>
        <v>8.6420091324200925</v>
      </c>
      <c r="F14" s="100"/>
      <c r="G14" s="92" t="s">
        <v>23</v>
      </c>
      <c r="H14" s="99">
        <f>Dati_OPTN!C14/365</f>
        <v>9.668493150684931</v>
      </c>
      <c r="I14" s="97"/>
    </row>
    <row r="15" spans="1:10" x14ac:dyDescent="0.25">
      <c r="A15" s="9" t="s">
        <v>26</v>
      </c>
      <c r="B15" s="92" t="s">
        <v>17</v>
      </c>
      <c r="C15" s="77">
        <f>AVERAGE(Dati_OPTN!C15:H15)</f>
        <v>5505.166666666667</v>
      </c>
      <c r="D15" s="78">
        <f>Arrivi!$C15/365</f>
        <v>15.082648401826486</v>
      </c>
      <c r="F15" s="9" t="s">
        <v>26</v>
      </c>
      <c r="G15" s="92" t="s">
        <v>17</v>
      </c>
      <c r="H15" s="99">
        <f>Dati_OPTN!C15/365</f>
        <v>16.649315068493152</v>
      </c>
      <c r="I15" s="97"/>
    </row>
    <row r="16" spans="1:10" x14ac:dyDescent="0.25">
      <c r="A16" s="9"/>
      <c r="B16" s="92" t="s">
        <v>19</v>
      </c>
      <c r="C16" s="77">
        <f>AVERAGE(Dati_OPTN!C16:H16)</f>
        <v>6</v>
      </c>
      <c r="D16" s="78">
        <f>Arrivi!$C16/365</f>
        <v>1.643835616438356E-2</v>
      </c>
      <c r="F16" s="100"/>
      <c r="G16" s="92" t="s">
        <v>19</v>
      </c>
      <c r="H16" s="99">
        <f>Dati_OPTN!C16/365</f>
        <v>2.7397260273972601E-2</v>
      </c>
      <c r="I16" s="97"/>
    </row>
    <row r="17" spans="1:9" x14ac:dyDescent="0.25">
      <c r="A17" s="9"/>
      <c r="B17" s="92" t="s">
        <v>21</v>
      </c>
      <c r="C17" s="77">
        <f>AVERAGE(Dati_OPTN!C17:H17)</f>
        <v>4198</v>
      </c>
      <c r="D17" s="78">
        <f>Arrivi!$C17/365</f>
        <v>11.501369863013698</v>
      </c>
      <c r="F17" s="100"/>
      <c r="G17" s="92" t="s">
        <v>21</v>
      </c>
      <c r="H17" s="99">
        <f>Dati_OPTN!C17/365</f>
        <v>12.846575342465753</v>
      </c>
      <c r="I17" s="97"/>
    </row>
    <row r="18" spans="1:9" x14ac:dyDescent="0.25">
      <c r="A18" s="9"/>
      <c r="B18" s="92" t="s">
        <v>23</v>
      </c>
      <c r="C18" s="77">
        <f>AVERAGE(Dati_OPTN!C18:H18)</f>
        <v>1359.5</v>
      </c>
      <c r="D18" s="78">
        <f>Arrivi!$C18/365</f>
        <v>3.7246575342465755</v>
      </c>
      <c r="F18" s="100"/>
      <c r="G18" s="92" t="s">
        <v>23</v>
      </c>
      <c r="H18" s="99">
        <f>Dati_OPTN!C18/365</f>
        <v>3.9698630136986299</v>
      </c>
      <c r="I18" s="97"/>
    </row>
    <row r="19" spans="1:9" x14ac:dyDescent="0.25">
      <c r="A19" s="9" t="s">
        <v>27</v>
      </c>
      <c r="B19" s="92" t="s">
        <v>17</v>
      </c>
      <c r="C19" s="77">
        <f>AVERAGE(Dati_OPTN!C19:H19)</f>
        <v>1410.8333333333333</v>
      </c>
      <c r="D19" s="78">
        <f>Arrivi!$C19/365</f>
        <v>3.865296803652968</v>
      </c>
      <c r="F19" s="9" t="s">
        <v>27</v>
      </c>
      <c r="G19" s="92" t="s">
        <v>17</v>
      </c>
      <c r="H19" s="99">
        <f>Dati_OPTN!C19/365</f>
        <v>4.3178082191780822</v>
      </c>
      <c r="I19" s="97"/>
    </row>
    <row r="20" spans="1:9" x14ac:dyDescent="0.25">
      <c r="A20" s="9"/>
      <c r="B20" s="92" t="s">
        <v>19</v>
      </c>
      <c r="C20" s="77">
        <f>AVERAGE(Dati_OPTN!C20:H20)</f>
        <v>1.6666666666666667</v>
      </c>
      <c r="D20" s="90">
        <f>Arrivi!$C20/365</f>
        <v>4.5662100456621011E-3</v>
      </c>
      <c r="F20" s="100"/>
      <c r="G20" s="92" t="s">
        <v>19</v>
      </c>
      <c r="H20" s="99">
        <f>Dati_OPTN!C20/365</f>
        <v>5.4794520547945206E-3</v>
      </c>
      <c r="I20" s="97"/>
    </row>
    <row r="21" spans="1:9" x14ac:dyDescent="0.25">
      <c r="A21" s="9"/>
      <c r="B21" s="92" t="s">
        <v>21</v>
      </c>
      <c r="C21" s="77">
        <f>AVERAGE(Dati_OPTN!C21:H21)</f>
        <v>1051.1666666666667</v>
      </c>
      <c r="D21" s="78">
        <f>Arrivi!$C21/365</f>
        <v>2.8799086757990868</v>
      </c>
      <c r="F21" s="100"/>
      <c r="G21" s="92" t="s">
        <v>21</v>
      </c>
      <c r="H21" s="99">
        <f>Dati_OPTN!C21/365</f>
        <v>3.1780821917808217</v>
      </c>
      <c r="I21" s="97"/>
    </row>
    <row r="22" spans="1:9" x14ac:dyDescent="0.25">
      <c r="A22" s="91"/>
      <c r="B22" s="93" t="s">
        <v>23</v>
      </c>
      <c r="C22" s="79">
        <f>AVERAGE(Dati_OPTN!C22:H22)</f>
        <v>372</v>
      </c>
      <c r="D22" s="80">
        <f>Arrivi!$C22/365</f>
        <v>1.0191780821917809</v>
      </c>
      <c r="F22" s="101"/>
      <c r="G22" s="93" t="s">
        <v>23</v>
      </c>
      <c r="H22" s="102">
        <f>Dati_OPTN!C22/365</f>
        <v>1.178082191780822</v>
      </c>
      <c r="I22" s="97"/>
    </row>
    <row r="23" spans="1:9" ht="15.75" thickBot="1" x14ac:dyDescent="0.3">
      <c r="A23" s="6"/>
      <c r="B23" s="6"/>
    </row>
    <row r="24" spans="1:9" x14ac:dyDescent="0.25">
      <c r="A24" s="98" t="s">
        <v>201</v>
      </c>
      <c r="B24" s="88"/>
      <c r="C24" s="88"/>
      <c r="D24" s="89"/>
      <c r="F24" s="98" t="s">
        <v>40</v>
      </c>
      <c r="G24" s="88"/>
      <c r="H24" s="89"/>
    </row>
    <row r="25" spans="1:9" x14ac:dyDescent="0.25">
      <c r="A25" s="94" t="s">
        <v>2</v>
      </c>
      <c r="B25" s="95" t="s">
        <v>41</v>
      </c>
      <c r="C25" s="96" t="s">
        <v>202</v>
      </c>
      <c r="D25" s="95" t="s">
        <v>42</v>
      </c>
      <c r="F25" s="103" t="s">
        <v>2</v>
      </c>
      <c r="G25" s="95" t="s">
        <v>41</v>
      </c>
      <c r="H25" s="95" t="s">
        <v>42</v>
      </c>
    </row>
    <row r="26" spans="1:9" x14ac:dyDescent="0.25">
      <c r="A26" s="104" t="s">
        <v>16</v>
      </c>
      <c r="B26" s="105" t="s">
        <v>18</v>
      </c>
      <c r="C26" s="77">
        <f>AVERAGE(Dati_OPTN!Q3:V3)</f>
        <v>15244.166666666666</v>
      </c>
      <c r="D26" s="78">
        <f t="shared" ref="D26:D40" si="0">C26/365</f>
        <v>41.764840182648399</v>
      </c>
      <c r="F26" s="104" t="s">
        <v>16</v>
      </c>
      <c r="G26" s="105" t="s">
        <v>18</v>
      </c>
      <c r="H26" s="99">
        <f>Dati_OPTN!Q3/365</f>
        <v>49.364383561643834</v>
      </c>
    </row>
    <row r="27" spans="1:9" x14ac:dyDescent="0.25">
      <c r="A27" s="104"/>
      <c r="B27" s="105" t="s">
        <v>20</v>
      </c>
      <c r="C27" s="77">
        <f>AVERAGE(Dati_OPTN!Q4:V4)</f>
        <v>9258.1666666666661</v>
      </c>
      <c r="D27" s="78">
        <f t="shared" si="0"/>
        <v>25.3648401826484</v>
      </c>
      <c r="F27" s="104"/>
      <c r="G27" s="105" t="s">
        <v>20</v>
      </c>
      <c r="H27" s="99">
        <f>Dati_OPTN!Q4/365</f>
        <v>30.553424657534247</v>
      </c>
    </row>
    <row r="28" spans="1:9" x14ac:dyDescent="0.25">
      <c r="A28" s="104"/>
      <c r="B28" s="105" t="s">
        <v>22</v>
      </c>
      <c r="C28" s="77">
        <f>AVERAGE(Dati_OPTN!Q5:V5)</f>
        <v>5986</v>
      </c>
      <c r="D28" s="78">
        <f t="shared" si="0"/>
        <v>16.399999999999999</v>
      </c>
      <c r="F28" s="104"/>
      <c r="G28" s="105" t="s">
        <v>22</v>
      </c>
      <c r="H28" s="99">
        <f>Dati_OPTN!Q5/365</f>
        <v>18.81095890410959</v>
      </c>
    </row>
    <row r="29" spans="1:9" x14ac:dyDescent="0.25">
      <c r="A29" s="104" t="s">
        <v>24</v>
      </c>
      <c r="B29" s="105" t="s">
        <v>18</v>
      </c>
      <c r="C29" s="77">
        <f>AVERAGE(Dati_OPTN!Q6:V6)</f>
        <v>8180.333333333333</v>
      </c>
      <c r="D29" s="78">
        <f t="shared" si="0"/>
        <v>22.411872146118721</v>
      </c>
      <c r="F29" s="104" t="s">
        <v>24</v>
      </c>
      <c r="G29" s="105" t="s">
        <v>18</v>
      </c>
      <c r="H29" s="99">
        <f>Dati_OPTN!Q6/365</f>
        <v>26.36986301369863</v>
      </c>
    </row>
    <row r="30" spans="1:9" x14ac:dyDescent="0.25">
      <c r="A30" s="104"/>
      <c r="B30" s="105" t="s">
        <v>20</v>
      </c>
      <c r="C30" s="77">
        <f>AVERAGE(Dati_OPTN!Q7:V7)</f>
        <v>4419</v>
      </c>
      <c r="D30" s="78">
        <f t="shared" si="0"/>
        <v>12.106849315068493</v>
      </c>
      <c r="F30" s="104"/>
      <c r="G30" s="105" t="s">
        <v>20</v>
      </c>
      <c r="H30" s="99">
        <f>Dati_OPTN!Q7/365</f>
        <v>14.580821917808219</v>
      </c>
    </row>
    <row r="31" spans="1:9" x14ac:dyDescent="0.25">
      <c r="A31" s="104"/>
      <c r="B31" s="105" t="s">
        <v>22</v>
      </c>
      <c r="C31" s="77">
        <f>AVERAGE(Dati_OPTN!Q8:V8)</f>
        <v>3761.3333333333335</v>
      </c>
      <c r="D31" s="78">
        <f t="shared" si="0"/>
        <v>10.305022831050229</v>
      </c>
      <c r="F31" s="104"/>
      <c r="G31" s="105" t="s">
        <v>22</v>
      </c>
      <c r="H31" s="99">
        <f>Dati_OPTN!Q8/365</f>
        <v>11.789041095890411</v>
      </c>
    </row>
    <row r="32" spans="1:9" x14ac:dyDescent="0.25">
      <c r="A32" s="104" t="s">
        <v>25</v>
      </c>
      <c r="B32" s="105" t="s">
        <v>18</v>
      </c>
      <c r="C32" s="77">
        <f>AVERAGE(Dati_OPTN!Q9:V9)</f>
        <v>5087.5</v>
      </c>
      <c r="D32" s="78">
        <f t="shared" si="0"/>
        <v>13.938356164383562</v>
      </c>
      <c r="F32" s="104" t="s">
        <v>25</v>
      </c>
      <c r="G32" s="105" t="s">
        <v>18</v>
      </c>
      <c r="H32" s="99">
        <f>Dati_OPTN!Q9/365</f>
        <v>16.482191780821918</v>
      </c>
    </row>
    <row r="33" spans="1:8" x14ac:dyDescent="0.25">
      <c r="A33" s="104"/>
      <c r="B33" s="105" t="s">
        <v>20</v>
      </c>
      <c r="C33" s="77">
        <f>AVERAGE(Dati_OPTN!Q10:V10)</f>
        <v>3430.5</v>
      </c>
      <c r="D33" s="78">
        <f t="shared" si="0"/>
        <v>9.3986301369863021</v>
      </c>
      <c r="F33" s="104"/>
      <c r="G33" s="105" t="s">
        <v>20</v>
      </c>
      <c r="H33" s="99">
        <f>Dati_OPTN!Q10/365</f>
        <v>11.306849315068494</v>
      </c>
    </row>
    <row r="34" spans="1:8" x14ac:dyDescent="0.25">
      <c r="A34" s="104"/>
      <c r="B34" s="105" t="s">
        <v>22</v>
      </c>
      <c r="C34" s="77">
        <f>AVERAGE(Dati_OPTN!Q11:V11)</f>
        <v>1657</v>
      </c>
      <c r="D34" s="78">
        <f t="shared" si="0"/>
        <v>4.5397260273972604</v>
      </c>
      <c r="F34" s="104"/>
      <c r="G34" s="105" t="s">
        <v>22</v>
      </c>
      <c r="H34" s="99">
        <f>Dati_OPTN!Q11/365</f>
        <v>5.1753424657534248</v>
      </c>
    </row>
    <row r="35" spans="1:8" x14ac:dyDescent="0.25">
      <c r="A35" s="104" t="s">
        <v>26</v>
      </c>
      <c r="B35" s="105" t="s">
        <v>18</v>
      </c>
      <c r="C35" s="77">
        <f>AVERAGE(Dati_OPTN!Q12:V12)</f>
        <v>1578.3333333333333</v>
      </c>
      <c r="D35" s="78">
        <f t="shared" si="0"/>
        <v>4.3242009132420085</v>
      </c>
      <c r="F35" s="104" t="s">
        <v>26</v>
      </c>
      <c r="G35" s="105" t="s">
        <v>18</v>
      </c>
      <c r="H35" s="99">
        <f>Dati_OPTN!Q12/365</f>
        <v>5.1369863013698627</v>
      </c>
    </row>
    <row r="36" spans="1:8" x14ac:dyDescent="0.25">
      <c r="A36" s="104"/>
      <c r="B36" s="105" t="s">
        <v>20</v>
      </c>
      <c r="C36" s="77">
        <f>AVERAGE(Dati_OPTN!Q13:V13)</f>
        <v>1090.5</v>
      </c>
      <c r="D36" s="78">
        <f t="shared" si="0"/>
        <v>2.9876712328767123</v>
      </c>
      <c r="F36" s="104"/>
      <c r="G36" s="105" t="s">
        <v>20</v>
      </c>
      <c r="H36" s="99">
        <f>Dati_OPTN!Q13/365</f>
        <v>3.5972602739726027</v>
      </c>
    </row>
    <row r="37" spans="1:8" x14ac:dyDescent="0.25">
      <c r="A37" s="104"/>
      <c r="B37" s="105" t="s">
        <v>22</v>
      </c>
      <c r="C37" s="77">
        <f>AVERAGE(Dati_OPTN!Q14:V14)</f>
        <v>487.83333333333331</v>
      </c>
      <c r="D37" s="78">
        <f t="shared" si="0"/>
        <v>1.3365296803652968</v>
      </c>
      <c r="F37" s="104"/>
      <c r="G37" s="105" t="s">
        <v>22</v>
      </c>
      <c r="H37" s="99">
        <f>Dati_OPTN!Q14/365</f>
        <v>1.5397260273972602</v>
      </c>
    </row>
    <row r="38" spans="1:8" x14ac:dyDescent="0.25">
      <c r="A38" s="104" t="s">
        <v>27</v>
      </c>
      <c r="B38" s="105" t="s">
        <v>18</v>
      </c>
      <c r="C38" s="77">
        <f>AVERAGE(Dati_OPTN!Q15:V15)</f>
        <v>398</v>
      </c>
      <c r="D38" s="78">
        <f t="shared" si="0"/>
        <v>1.0904109589041096</v>
      </c>
      <c r="F38" s="104" t="s">
        <v>27</v>
      </c>
      <c r="G38" s="105" t="s">
        <v>18</v>
      </c>
      <c r="H38" s="99">
        <f>Dati_OPTN!Q15/365</f>
        <v>1.3753424657534246</v>
      </c>
    </row>
    <row r="39" spans="1:8" x14ac:dyDescent="0.25">
      <c r="A39" s="104"/>
      <c r="B39" s="105" t="s">
        <v>20</v>
      </c>
      <c r="C39" s="77">
        <f>AVERAGE(Dati_OPTN!Q16:V16)</f>
        <v>318.16666666666669</v>
      </c>
      <c r="D39" s="78">
        <f t="shared" si="0"/>
        <v>0.87168949771689508</v>
      </c>
      <c r="F39" s="104"/>
      <c r="G39" s="105" t="s">
        <v>20</v>
      </c>
      <c r="H39" s="99">
        <f>Dati_OPTN!Q16/365</f>
        <v>1.0684931506849316</v>
      </c>
    </row>
    <row r="40" spans="1:8" x14ac:dyDescent="0.25">
      <c r="A40" s="106"/>
      <c r="B40" s="107" t="s">
        <v>22</v>
      </c>
      <c r="C40" s="79">
        <f>AVERAGE(Dati_OPTN!Q17:V17)</f>
        <v>79.833333333333329</v>
      </c>
      <c r="D40" s="80">
        <f t="shared" si="0"/>
        <v>0.21872146118721461</v>
      </c>
      <c r="F40" s="106"/>
      <c r="G40" s="107" t="s">
        <v>22</v>
      </c>
      <c r="H40" s="102">
        <f>Dati_OPTN!Q17/365</f>
        <v>0.30684931506849317</v>
      </c>
    </row>
  </sheetData>
  <mergeCells count="4">
    <mergeCell ref="A1:D1"/>
    <mergeCell ref="F1:H1"/>
    <mergeCell ref="A24:D24"/>
    <mergeCell ref="F24:H24"/>
  </mergeCells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69"/>
  <sheetViews>
    <sheetView zoomScaleNormal="100" workbookViewId="0">
      <selection activeCell="C26" sqref="C26"/>
    </sheetView>
  </sheetViews>
  <sheetFormatPr defaultColWidth="9.140625" defaultRowHeight="15" x14ac:dyDescent="0.25"/>
  <cols>
    <col min="1" max="1" width="11.85546875" customWidth="1"/>
    <col min="2" max="2" width="15.42578125" customWidth="1"/>
    <col min="3" max="3" width="15.85546875" customWidth="1"/>
    <col min="4" max="4" width="14.42578125" customWidth="1"/>
    <col min="5" max="5" width="14.7109375" customWidth="1"/>
    <col min="6" max="6" width="16.28515625" customWidth="1"/>
    <col min="7" max="7" width="10.7109375" customWidth="1"/>
    <col min="8" max="8" width="11.42578125" customWidth="1"/>
    <col min="9" max="9" width="14.140625" customWidth="1"/>
    <col min="10" max="10" width="21.5703125" customWidth="1"/>
    <col min="11" max="11" width="11.85546875" customWidth="1"/>
    <col min="14" max="14" width="11.7109375" customWidth="1"/>
  </cols>
  <sheetData>
    <row r="1" spans="1:9" x14ac:dyDescent="0.25">
      <c r="A1" s="112" t="s">
        <v>203</v>
      </c>
      <c r="B1" s="112"/>
      <c r="C1" s="112"/>
      <c r="D1" s="112"/>
      <c r="E1" s="113"/>
      <c r="G1" s="112" t="s">
        <v>43</v>
      </c>
      <c r="H1" s="112"/>
      <c r="I1" s="113"/>
    </row>
    <row r="2" spans="1:9" x14ac:dyDescent="0.25">
      <c r="A2" s="103" t="s">
        <v>2</v>
      </c>
      <c r="B2" s="114" t="s">
        <v>3</v>
      </c>
      <c r="C2" s="115" t="s">
        <v>204</v>
      </c>
      <c r="D2" s="115" t="s">
        <v>45</v>
      </c>
      <c r="E2" s="114" t="s">
        <v>44</v>
      </c>
      <c r="G2" s="103" t="s">
        <v>2</v>
      </c>
      <c r="H2" s="114" t="s">
        <v>3</v>
      </c>
      <c r="I2" s="114" t="s">
        <v>45</v>
      </c>
    </row>
    <row r="3" spans="1:9" x14ac:dyDescent="0.25">
      <c r="A3" s="9" t="s">
        <v>16</v>
      </c>
      <c r="B3" s="92" t="s">
        <v>17</v>
      </c>
      <c r="C3" s="108">
        <f>AVERAGE(Dati_OPTN!C26:H26)</f>
        <v>4418.5</v>
      </c>
      <c r="D3" s="108">
        <f>Uscite!$C3/365</f>
        <v>12.105479452054794</v>
      </c>
      <c r="E3" s="109">
        <f>Uscite!$C3/Arrivi!$C3</f>
        <v>0.1193667631710469</v>
      </c>
      <c r="G3" s="9" t="s">
        <v>16</v>
      </c>
      <c r="H3" s="92" t="s">
        <v>17</v>
      </c>
      <c r="I3" s="116">
        <f>Dati_OPTN!C26/365</f>
        <v>10.605479452054794</v>
      </c>
    </row>
    <row r="4" spans="1:9" x14ac:dyDescent="0.25">
      <c r="A4" s="9"/>
      <c r="B4" s="92" t="s">
        <v>19</v>
      </c>
      <c r="C4" s="108">
        <f>AVERAGE(Dati_OPTN!C27:H27)</f>
        <v>1.3333333333333333</v>
      </c>
      <c r="D4" s="108">
        <f>Uscite!$C4/365</f>
        <v>3.6529680365296802E-3</v>
      </c>
      <c r="E4" s="109">
        <f>Uscite!$C4/Arrivi!$C4</f>
        <v>3.5714285714285712E-2</v>
      </c>
      <c r="G4" s="9"/>
      <c r="H4" s="92" t="s">
        <v>19</v>
      </c>
      <c r="I4" s="116">
        <f>Dati_OPTN!C27/365</f>
        <v>2.7397260273972603E-3</v>
      </c>
    </row>
    <row r="5" spans="1:9" x14ac:dyDescent="0.25">
      <c r="A5" s="9"/>
      <c r="B5" s="92" t="s">
        <v>21</v>
      </c>
      <c r="C5" s="108">
        <f>AVERAGE(Dati_OPTN!C28:H28)</f>
        <v>1681</v>
      </c>
      <c r="D5" s="108">
        <f>Uscite!$C5/365</f>
        <v>4.6054794520547944</v>
      </c>
      <c r="E5" s="109">
        <f>Uscite!$C5/Arrivi!$C5</f>
        <v>6.0025352766486739E-2</v>
      </c>
      <c r="G5" s="9"/>
      <c r="H5" s="92" t="s">
        <v>21</v>
      </c>
      <c r="I5" s="116">
        <f>Dati_OPTN!C28/365</f>
        <v>4.2356164383561641</v>
      </c>
    </row>
    <row r="6" spans="1:9" x14ac:dyDescent="0.25">
      <c r="A6" s="9"/>
      <c r="B6" s="92" t="s">
        <v>23</v>
      </c>
      <c r="C6" s="108">
        <f>AVERAGE(Dati_OPTN!C29:H29)</f>
        <v>2813.5</v>
      </c>
      <c r="D6" s="108">
        <f>Uscite!$C6/365</f>
        <v>7.7082191780821914</v>
      </c>
      <c r="E6" s="109">
        <f>Uscite!$C6/Arrivi!$C6</f>
        <v>0.30088227430710274</v>
      </c>
      <c r="G6" s="9"/>
      <c r="H6" s="92" t="s">
        <v>23</v>
      </c>
      <c r="I6" s="116">
        <f>Dati_OPTN!C29/365</f>
        <v>6.5945205479452058</v>
      </c>
    </row>
    <row r="7" spans="1:9" x14ac:dyDescent="0.25">
      <c r="A7" s="9" t="s">
        <v>24</v>
      </c>
      <c r="B7" s="92" t="s">
        <v>17</v>
      </c>
      <c r="C7" s="108">
        <f>AVERAGE(Dati_OPTN!C30:H30)</f>
        <v>2313.5</v>
      </c>
      <c r="D7" s="108">
        <f>Uscite!$C7/365</f>
        <v>6.338356164383562</v>
      </c>
      <c r="E7" s="109">
        <f>Uscite!$C7/Arrivi!$C7</f>
        <v>0.12814571370543379</v>
      </c>
      <c r="G7" s="9" t="s">
        <v>24</v>
      </c>
      <c r="H7" s="92" t="s">
        <v>17</v>
      </c>
      <c r="I7" s="116">
        <f>Dati_OPTN!C30/365</f>
        <v>5.7616438356164386</v>
      </c>
    </row>
    <row r="8" spans="1:9" x14ac:dyDescent="0.25">
      <c r="A8" s="9"/>
      <c r="B8" s="92" t="s">
        <v>19</v>
      </c>
      <c r="C8" s="108">
        <f>AVERAGE(Dati_OPTN!C31:H31)</f>
        <v>1</v>
      </c>
      <c r="D8" s="108">
        <f>Uscite!$C8/365</f>
        <v>2.7397260273972603E-3</v>
      </c>
      <c r="E8" s="109">
        <f>Uscite!$C8/Arrivi!$C8</f>
        <v>5.2631578947368418E-2</v>
      </c>
      <c r="G8" s="9"/>
      <c r="H8" s="92" t="s">
        <v>19</v>
      </c>
      <c r="I8" s="116">
        <f>Dati_OPTN!C31/365</f>
        <v>2.7397260273972603E-3</v>
      </c>
    </row>
    <row r="9" spans="1:9" x14ac:dyDescent="0.25">
      <c r="A9" s="9"/>
      <c r="B9" s="92" t="s">
        <v>21</v>
      </c>
      <c r="C9" s="108">
        <f>AVERAGE(Dati_OPTN!C32:H32)</f>
        <v>913.83333333333337</v>
      </c>
      <c r="D9" s="108">
        <f>Uscite!$C9/365</f>
        <v>2.5036529680365298</v>
      </c>
      <c r="E9" s="109">
        <f>Uscite!$C9/Arrivi!$C9</f>
        <v>6.6444498303441596E-2</v>
      </c>
      <c r="G9" s="9"/>
      <c r="H9" s="92" t="s">
        <v>21</v>
      </c>
      <c r="I9" s="116">
        <f>Dati_OPTN!C32/365</f>
        <v>2.3945205479452056</v>
      </c>
    </row>
    <row r="10" spans="1:9" x14ac:dyDescent="0.25">
      <c r="A10" s="9"/>
      <c r="B10" s="92" t="s">
        <v>23</v>
      </c>
      <c r="C10" s="108">
        <f>AVERAGE(Dati_OPTN!C33:H33)</f>
        <v>1440.6666666666667</v>
      </c>
      <c r="D10" s="108">
        <f>Uscite!$C10/365</f>
        <v>3.9470319634703199</v>
      </c>
      <c r="E10" s="109">
        <f>Uscite!$C10/Arrivi!$C10</f>
        <v>0.32265770810003735</v>
      </c>
      <c r="G10" s="9"/>
      <c r="H10" s="92" t="s">
        <v>23</v>
      </c>
      <c r="I10" s="116">
        <f>Dati_OPTN!C33/365</f>
        <v>3.4602739726027396</v>
      </c>
    </row>
    <row r="11" spans="1:9" x14ac:dyDescent="0.25">
      <c r="A11" s="9" t="s">
        <v>25</v>
      </c>
      <c r="B11" s="92" t="s">
        <v>17</v>
      </c>
      <c r="C11" s="108">
        <f>AVERAGE(Dati_OPTN!C34:H34)</f>
        <v>1276.8333333333333</v>
      </c>
      <c r="D11" s="108">
        <f>Uscite!$C11/365</f>
        <v>3.4981735159817351</v>
      </c>
      <c r="E11" s="109">
        <f>Uscite!$C11/Arrivi!$C11</f>
        <v>0.10598619315745057</v>
      </c>
      <c r="G11" s="9" t="s">
        <v>25</v>
      </c>
      <c r="H11" s="92" t="s">
        <v>17</v>
      </c>
      <c r="I11" s="116">
        <f>Dati_OPTN!C34/365</f>
        <v>2.8547945205479452</v>
      </c>
    </row>
    <row r="12" spans="1:9" x14ac:dyDescent="0.25">
      <c r="A12" s="9"/>
      <c r="B12" s="92" t="s">
        <v>19</v>
      </c>
      <c r="C12" s="108">
        <f>AVERAGE(Dati_OPTN!C35:H35)</f>
        <v>0.33333333333333331</v>
      </c>
      <c r="D12" s="108">
        <f>Uscite!$C12/365</f>
        <v>9.1324200913242006E-4</v>
      </c>
      <c r="E12" s="109">
        <f>Uscite!$C12/Arrivi!$C12</f>
        <v>3.125E-2</v>
      </c>
      <c r="G12" s="9"/>
      <c r="H12" s="92" t="s">
        <v>19</v>
      </c>
      <c r="I12" s="116">
        <f>Dati_OPTN!C35/365</f>
        <v>0</v>
      </c>
    </row>
    <row r="13" spans="1:9" x14ac:dyDescent="0.25">
      <c r="A13" s="9"/>
      <c r="B13" s="92" t="s">
        <v>21</v>
      </c>
      <c r="C13" s="108">
        <f>AVERAGE(Dati_OPTN!C36:H36)</f>
        <v>445.5</v>
      </c>
      <c r="D13" s="108">
        <f>Uscite!$C13/365</f>
        <v>1.2205479452054795</v>
      </c>
      <c r="E13" s="109">
        <f>Uscite!$C13/Arrivi!$C13</f>
        <v>4.9482589459264335E-2</v>
      </c>
      <c r="G13" s="9"/>
      <c r="H13" s="92" t="s">
        <v>21</v>
      </c>
      <c r="I13" s="116">
        <f>Dati_OPTN!C36/365</f>
        <v>1.0082191780821919</v>
      </c>
    </row>
    <row r="14" spans="1:9" x14ac:dyDescent="0.25">
      <c r="A14" s="9"/>
      <c r="B14" s="92" t="s">
        <v>23</v>
      </c>
      <c r="C14" s="108">
        <f>AVERAGE(Dati_OPTN!C37:H37)</f>
        <v>848.16666666666663</v>
      </c>
      <c r="D14" s="108">
        <f>Uscite!$C14/365</f>
        <v>2.3237442922374427</v>
      </c>
      <c r="E14" s="109">
        <f>Uscite!$C14/Arrivi!$C14</f>
        <v>0.26888935855436963</v>
      </c>
      <c r="G14" s="9"/>
      <c r="H14" s="92" t="s">
        <v>23</v>
      </c>
      <c r="I14" s="116">
        <f>Dati_OPTN!C37/365</f>
        <v>1.9068493150684931</v>
      </c>
    </row>
    <row r="15" spans="1:9" x14ac:dyDescent="0.25">
      <c r="A15" s="9" t="s">
        <v>26</v>
      </c>
      <c r="B15" s="92" t="s">
        <v>17</v>
      </c>
      <c r="C15" s="108">
        <f>AVERAGE(Dati_OPTN!C38:H38)</f>
        <v>708.83333333333337</v>
      </c>
      <c r="D15" s="108">
        <f>Uscite!$C15/365</f>
        <v>1.9420091324200914</v>
      </c>
      <c r="E15" s="109">
        <f>Uscite!$C15/Arrivi!$C15</f>
        <v>0.12875783355030124</v>
      </c>
      <c r="G15" s="9" t="s">
        <v>26</v>
      </c>
      <c r="H15" s="92" t="s">
        <v>17</v>
      </c>
      <c r="I15" s="116">
        <f>Dati_OPTN!C38/365</f>
        <v>1.726027397260274</v>
      </c>
    </row>
    <row r="16" spans="1:9" x14ac:dyDescent="0.25">
      <c r="A16" s="9"/>
      <c r="B16" s="92" t="s">
        <v>19</v>
      </c>
      <c r="C16" s="108">
        <f>AVERAGE(Dati_OPTN!C39:H39)</f>
        <v>0</v>
      </c>
      <c r="D16" s="108">
        <f>Uscite!$C16/365</f>
        <v>0</v>
      </c>
      <c r="E16" s="109">
        <f>Uscite!$C16/Arrivi!$C16</f>
        <v>0</v>
      </c>
      <c r="G16" s="9"/>
      <c r="H16" s="92" t="s">
        <v>19</v>
      </c>
      <c r="I16" s="116">
        <f>Dati_OPTN!C39/365</f>
        <v>0</v>
      </c>
    </row>
    <row r="17" spans="1:15" x14ac:dyDescent="0.25">
      <c r="A17" s="9"/>
      <c r="B17" s="92" t="s">
        <v>21</v>
      </c>
      <c r="C17" s="108">
        <f>AVERAGE(Dati_OPTN!C40:H40)</f>
        <v>283.16666666666669</v>
      </c>
      <c r="D17" s="108">
        <f>Uscite!$C17/365</f>
        <v>0.77579908675799092</v>
      </c>
      <c r="E17" s="109">
        <f>Uscite!$C17/Arrivi!$C17</f>
        <v>6.7452755280292209E-2</v>
      </c>
      <c r="G17" s="9"/>
      <c r="H17" s="92" t="s">
        <v>21</v>
      </c>
      <c r="I17" s="116">
        <f>Dati_OPTN!C40/365</f>
        <v>0.73972602739726023</v>
      </c>
    </row>
    <row r="18" spans="1:15" x14ac:dyDescent="0.25">
      <c r="A18" s="9"/>
      <c r="B18" s="92" t="s">
        <v>23</v>
      </c>
      <c r="C18" s="108">
        <f>AVERAGE(Dati_OPTN!C41:H41)</f>
        <v>442.5</v>
      </c>
      <c r="D18" s="108">
        <f>Uscite!$C18/365</f>
        <v>1.2123287671232876</v>
      </c>
      <c r="E18" s="109">
        <f>Uscite!$C18/Arrivi!$C18</f>
        <v>0.32548731151158516</v>
      </c>
      <c r="G18" s="9"/>
      <c r="H18" s="92" t="s">
        <v>23</v>
      </c>
      <c r="I18" s="116">
        <f>Dati_OPTN!C41/365</f>
        <v>1.0465753424657533</v>
      </c>
      <c r="J18" s="11"/>
      <c r="K18" s="11"/>
      <c r="L18" s="11"/>
      <c r="M18" s="11"/>
    </row>
    <row r="19" spans="1:15" x14ac:dyDescent="0.25">
      <c r="A19" s="9" t="s">
        <v>27</v>
      </c>
      <c r="B19" s="92" t="s">
        <v>17</v>
      </c>
      <c r="C19" s="108">
        <f>AVERAGE(Dati_OPTN!C42:H42)</f>
        <v>119.33333333333333</v>
      </c>
      <c r="D19" s="108">
        <f>Uscite!$C19/365</f>
        <v>0.32694063926940636</v>
      </c>
      <c r="E19" s="109">
        <f>Uscite!$C19/Arrivi!$C19</f>
        <v>8.45835794447726E-2</v>
      </c>
      <c r="G19" s="9" t="s">
        <v>27</v>
      </c>
      <c r="H19" s="92" t="s">
        <v>17</v>
      </c>
      <c r="I19" s="116">
        <f>Dati_OPTN!C42/365</f>
        <v>0.26301369863013696</v>
      </c>
      <c r="J19" s="11"/>
      <c r="K19" s="11"/>
      <c r="L19" s="11"/>
      <c r="M19" s="11"/>
    </row>
    <row r="20" spans="1:15" x14ac:dyDescent="0.25">
      <c r="A20" s="9"/>
      <c r="B20" s="92" t="s">
        <v>19</v>
      </c>
      <c r="C20" s="108">
        <f>AVERAGE(Dati_OPTN!C43:H43)</f>
        <v>0</v>
      </c>
      <c r="D20" s="108">
        <f>Uscite!$C20/365</f>
        <v>0</v>
      </c>
      <c r="E20" s="109">
        <f>Uscite!$C20/Arrivi!$C20</f>
        <v>0</v>
      </c>
      <c r="G20" s="9"/>
      <c r="H20" s="92" t="s">
        <v>19</v>
      </c>
      <c r="I20" s="116">
        <f>Dati_OPTN!C43/365</f>
        <v>0</v>
      </c>
      <c r="J20" s="11"/>
      <c r="K20" s="11"/>
      <c r="L20" s="11"/>
      <c r="M20" s="11"/>
    </row>
    <row r="21" spans="1:15" x14ac:dyDescent="0.25">
      <c r="A21" s="9"/>
      <c r="B21" s="92" t="s">
        <v>21</v>
      </c>
      <c r="C21" s="108">
        <f>AVERAGE(Dati_OPTN!C44:H44)</f>
        <v>38.5</v>
      </c>
      <c r="D21" s="108">
        <f>Uscite!$C21/365</f>
        <v>0.10547945205479452</v>
      </c>
      <c r="E21" s="109">
        <f>Uscite!$C21/Arrivi!$C21</f>
        <v>3.662597114317425E-2</v>
      </c>
      <c r="G21" s="9"/>
      <c r="H21" s="92" t="s">
        <v>21</v>
      </c>
      <c r="I21" s="116">
        <f>Dati_OPTN!C44/365</f>
        <v>9.3150684931506855E-2</v>
      </c>
      <c r="J21" s="11"/>
      <c r="K21" s="11"/>
      <c r="L21" s="11"/>
      <c r="M21" s="11"/>
    </row>
    <row r="22" spans="1:15" x14ac:dyDescent="0.25">
      <c r="A22" s="91"/>
      <c r="B22" s="93" t="s">
        <v>23</v>
      </c>
      <c r="C22" s="110">
        <f>AVERAGE(Dati_OPTN!C45:H45)</f>
        <v>82.166666666666671</v>
      </c>
      <c r="D22" s="110">
        <f>Uscite!$C22/365</f>
        <v>0.22511415525114156</v>
      </c>
      <c r="E22" s="111">
        <f>Uscite!$C22/Arrivi!$C22</f>
        <v>0.22087813620071686</v>
      </c>
      <c r="G22" s="91"/>
      <c r="H22" s="93" t="s">
        <v>23</v>
      </c>
      <c r="I22" s="117">
        <f>Dati_OPTN!C45/365</f>
        <v>0.18082191780821918</v>
      </c>
      <c r="J22" s="11"/>
      <c r="K22" s="11"/>
      <c r="L22" s="11"/>
      <c r="M22" s="11"/>
    </row>
    <row r="23" spans="1:15" x14ac:dyDescent="0.25">
      <c r="A23" s="6"/>
      <c r="B23" s="6"/>
      <c r="C23" s="10"/>
      <c r="D23" s="10"/>
      <c r="E23" s="10"/>
      <c r="G23" s="6"/>
      <c r="H23" s="6"/>
      <c r="I23" s="10"/>
      <c r="J23" s="10"/>
      <c r="K23" s="11"/>
      <c r="L23" s="11"/>
      <c r="M23" s="11"/>
      <c r="N23" s="11"/>
      <c r="O23" s="11"/>
    </row>
    <row r="24" spans="1:15" x14ac:dyDescent="0.25">
      <c r="A24" s="112" t="s">
        <v>205</v>
      </c>
      <c r="B24" s="112"/>
      <c r="C24" s="112"/>
      <c r="D24" s="112"/>
      <c r="E24" s="113"/>
      <c r="G24" s="112" t="s">
        <v>46</v>
      </c>
      <c r="H24" s="112"/>
      <c r="I24" s="113"/>
    </row>
    <row r="25" spans="1:15" x14ac:dyDescent="0.25">
      <c r="A25" s="103" t="s">
        <v>2</v>
      </c>
      <c r="B25" s="114" t="s">
        <v>3</v>
      </c>
      <c r="C25" s="115" t="s">
        <v>207</v>
      </c>
      <c r="D25" s="115" t="s">
        <v>208</v>
      </c>
      <c r="E25" s="114" t="s">
        <v>44</v>
      </c>
      <c r="G25" s="103" t="s">
        <v>2</v>
      </c>
      <c r="H25" s="114" t="s">
        <v>3</v>
      </c>
      <c r="I25" s="114" t="s">
        <v>45</v>
      </c>
    </row>
    <row r="26" spans="1:15" x14ac:dyDescent="0.25">
      <c r="A26" s="9" t="s">
        <v>16</v>
      </c>
      <c r="B26" s="92" t="s">
        <v>17</v>
      </c>
      <c r="C26" s="108">
        <f>IF(AVERAGE(Dati_OPTN!Q49:V49) &gt; Arrivi!C3, Arrivi!C3, AVERAGE(Dati_OPTN!Q49:V49))</f>
        <v>11046.5</v>
      </c>
      <c r="D26" s="108">
        <f>Uscite!$C26/365</f>
        <v>30.264383561643836</v>
      </c>
      <c r="E26" s="109">
        <f>Uscite!$C26/Arrivi!C3</f>
        <v>0.2984236617333868</v>
      </c>
      <c r="G26" s="9" t="s">
        <v>16</v>
      </c>
      <c r="H26" s="92" t="s">
        <v>17</v>
      </c>
      <c r="I26" s="118">
        <f>Dati_OPTN!Q49/365</f>
        <v>29.964383561643835</v>
      </c>
    </row>
    <row r="27" spans="1:15" x14ac:dyDescent="0.25">
      <c r="A27" s="9"/>
      <c r="B27" s="92" t="s">
        <v>19</v>
      </c>
      <c r="C27" s="108">
        <f>IF(AVERAGE(Dati_OPTN!Q50:V50) &gt; Arrivi!C4, Arrivi!C4, AVERAGE(Dati_OPTN!Q50:V50))</f>
        <v>3.3333333333333335</v>
      </c>
      <c r="D27" s="108">
        <f>Uscite!$C27/365</f>
        <v>9.1324200913242021E-3</v>
      </c>
      <c r="E27" s="109">
        <f>Uscite!$C27/Arrivi!C4</f>
        <v>8.9285714285714288E-2</v>
      </c>
      <c r="G27" s="9"/>
      <c r="H27" s="92" t="s">
        <v>19</v>
      </c>
      <c r="I27" s="118">
        <f>Dati_OPTN!Q50/365</f>
        <v>5.4794520547945206E-3</v>
      </c>
    </row>
    <row r="28" spans="1:15" x14ac:dyDescent="0.25">
      <c r="A28" s="9"/>
      <c r="B28" s="92" t="s">
        <v>21</v>
      </c>
      <c r="C28" s="108">
        <f>IF(AVERAGE(Dati_OPTN!Q51:V51) &gt; Arrivi!C5, Arrivi!C5, AVERAGE(Dati_OPTN!Q51:V51))</f>
        <v>2905.8333333333335</v>
      </c>
      <c r="D28" s="108">
        <f>Uscite!$C28/365</f>
        <v>7.961187214611873</v>
      </c>
      <c r="E28" s="109">
        <f>Uscite!$C28/Arrivi!C5</f>
        <v>0.10376185063292646</v>
      </c>
      <c r="G28" s="9"/>
      <c r="H28" s="92" t="s">
        <v>21</v>
      </c>
      <c r="I28" s="118">
        <f>Dati_OPTN!Q51/365</f>
        <v>8.1999999999999993</v>
      </c>
    </row>
    <row r="29" spans="1:15" x14ac:dyDescent="0.25">
      <c r="A29" s="9"/>
      <c r="B29" s="92" t="s">
        <v>23</v>
      </c>
      <c r="C29" s="108">
        <f>IF(AVERAGE(Dati_OPTN!Q52:V52) &gt; Arrivi!C6, Arrivi!C6, AVERAGE(Dati_OPTN!Q52:V52))</f>
        <v>9278.6666666666661</v>
      </c>
      <c r="D29" s="108">
        <f>Uscite!$C29/365</f>
        <v>25.421004566210044</v>
      </c>
      <c r="E29" s="109">
        <f>Uscite!$C29/Arrivi!C6</f>
        <v>0.99228232777827274</v>
      </c>
      <c r="G29" s="9"/>
      <c r="H29" s="92" t="s">
        <v>23</v>
      </c>
      <c r="I29" s="118">
        <f>Dati_OPTN!Q52/365</f>
        <v>25.027397260273972</v>
      </c>
    </row>
    <row r="30" spans="1:15" x14ac:dyDescent="0.25">
      <c r="A30" s="9" t="s">
        <v>24</v>
      </c>
      <c r="B30" s="92" t="s">
        <v>17</v>
      </c>
      <c r="C30" s="108">
        <f>IF(AVERAGE(Dati_OPTN!Q53:V53) &gt; Arrivi!C7, Arrivi!C7, AVERAGE(Dati_OPTN!Q53:V53))</f>
        <v>5731.833333333333</v>
      </c>
      <c r="D30" s="108">
        <f>Uscite!$C30/365</f>
        <v>15.703652968036529</v>
      </c>
      <c r="E30" s="109">
        <f>Uscite!$C30/Arrivi!C7</f>
        <v>0.31748859880725983</v>
      </c>
      <c r="G30" s="9" t="s">
        <v>24</v>
      </c>
      <c r="H30" s="92" t="s">
        <v>17</v>
      </c>
      <c r="I30" s="118">
        <f>Dati_OPTN!Q53/365</f>
        <v>15.654794520547945</v>
      </c>
    </row>
    <row r="31" spans="1:15" x14ac:dyDescent="0.25">
      <c r="A31" s="9"/>
      <c r="B31" s="92" t="s">
        <v>19</v>
      </c>
      <c r="C31" s="108">
        <f>IF(AVERAGE(Dati_OPTN!Q54:V54) &gt; Arrivi!C8, Arrivi!C8, AVERAGE(Dati_OPTN!Q54:V54))</f>
        <v>2.3333333333333335</v>
      </c>
      <c r="D31" s="108">
        <f>Uscite!$C31/365</f>
        <v>6.392694063926941E-3</v>
      </c>
      <c r="E31" s="123">
        <f>Uscite!$C31/Arrivi!C8</f>
        <v>0.12280701754385966</v>
      </c>
      <c r="G31" s="9"/>
      <c r="H31" s="92" t="s">
        <v>19</v>
      </c>
      <c r="I31" s="118">
        <f>Dati_OPTN!Q54/365</f>
        <v>0</v>
      </c>
    </row>
    <row r="32" spans="1:15" x14ac:dyDescent="0.25">
      <c r="A32" s="9"/>
      <c r="B32" s="92" t="s">
        <v>21</v>
      </c>
      <c r="C32" s="108">
        <f>IF(AVERAGE(Dati_OPTN!Q55:V55) &gt; Arrivi!C9, Arrivi!C9, AVERAGE(Dati_OPTN!Q55:V55))</f>
        <v>1521.5</v>
      </c>
      <c r="D32" s="108">
        <f>Uscite!$C32/365</f>
        <v>4.1684931506849319</v>
      </c>
      <c r="E32" s="123">
        <f>Uscite!$C32/Arrivi!C9</f>
        <v>0.11062772661173048</v>
      </c>
      <c r="G32" s="9"/>
      <c r="H32" s="92" t="s">
        <v>21</v>
      </c>
      <c r="I32" s="118">
        <f>Dati_OPTN!Q55/365</f>
        <v>4.2849315068493148</v>
      </c>
    </row>
    <row r="33" spans="1:17" x14ac:dyDescent="0.25">
      <c r="A33" s="9"/>
      <c r="B33" s="92" t="s">
        <v>23</v>
      </c>
      <c r="C33" s="108">
        <f>IF(AVERAGE(Dati_OPTN!Q56:V56) &gt; Arrivi!C10, Arrivi!C10, AVERAGE(Dati_OPTN!Q56:V56))</f>
        <v>4465</v>
      </c>
      <c r="D33" s="108">
        <f>Uscite!$C33/365</f>
        <v>12.232876712328768</v>
      </c>
      <c r="E33" s="123">
        <f>Uscite!$C33/Arrivi!C10</f>
        <v>1</v>
      </c>
      <c r="G33" s="9"/>
      <c r="H33" s="92" t="s">
        <v>23</v>
      </c>
      <c r="I33" s="118">
        <f>Dati_OPTN!Q56/365</f>
        <v>12.975342465753425</v>
      </c>
    </row>
    <row r="34" spans="1:17" x14ac:dyDescent="0.25">
      <c r="A34" s="9" t="s">
        <v>25</v>
      </c>
      <c r="B34" s="92" t="s">
        <v>17</v>
      </c>
      <c r="C34" s="108">
        <f>IF(AVERAGE(Dati_OPTN!Q57:V57) &gt; Arrivi!C11, Arrivi!C11, AVERAGE(Dati_OPTN!Q57:V57))</f>
        <v>3254.1666666666665</v>
      </c>
      <c r="D34" s="108">
        <f>Uscite!$C34/365</f>
        <v>8.9155251141552512</v>
      </c>
      <c r="E34" s="123">
        <f>Uscite!$C34/Arrivi!C11</f>
        <v>0.27011883845440837</v>
      </c>
      <c r="G34" s="9" t="s">
        <v>25</v>
      </c>
      <c r="H34" s="92" t="s">
        <v>17</v>
      </c>
      <c r="I34" s="118">
        <f>Dati_OPTN!Q57/365</f>
        <v>8.6547945205479451</v>
      </c>
    </row>
    <row r="35" spans="1:17" x14ac:dyDescent="0.25">
      <c r="A35" s="9"/>
      <c r="B35" s="92" t="s">
        <v>19</v>
      </c>
      <c r="C35" s="108">
        <f>IF(AVERAGE(Dati_OPTN!Q58:V58) &gt; Arrivi!C12, Arrivi!C12, AVERAGE(Dati_OPTN!Q58:V58))</f>
        <v>0.5</v>
      </c>
      <c r="D35" s="108">
        <f>Uscite!$C35/365</f>
        <v>1.3698630136986301E-3</v>
      </c>
      <c r="E35" s="123">
        <f>Uscite!$C35/Arrivi!C12</f>
        <v>4.6875E-2</v>
      </c>
      <c r="G35" s="9"/>
      <c r="H35" s="92" t="s">
        <v>19</v>
      </c>
      <c r="I35" s="118">
        <f>Dati_OPTN!Q58/365</f>
        <v>5.4794520547945206E-3</v>
      </c>
    </row>
    <row r="36" spans="1:17" x14ac:dyDescent="0.25">
      <c r="A36" s="9"/>
      <c r="B36" s="92" t="s">
        <v>21</v>
      </c>
      <c r="C36" s="108">
        <f>IF(AVERAGE(Dati_OPTN!Q59:V59) &gt; Arrivi!C13, Arrivi!C13, AVERAGE(Dati_OPTN!Q59:V59))</f>
        <v>853.33333333333337</v>
      </c>
      <c r="D36" s="108">
        <f>Uscite!$C36/365</f>
        <v>2.3378995433789957</v>
      </c>
      <c r="E36" s="123">
        <f>Uscite!$C36/Arrivi!C13</f>
        <v>9.4781465780558696E-2</v>
      </c>
      <c r="G36" s="9"/>
      <c r="H36" s="92" t="s">
        <v>21</v>
      </c>
      <c r="I36" s="118">
        <f>Dati_OPTN!Q59/365</f>
        <v>2.3671232876712329</v>
      </c>
    </row>
    <row r="37" spans="1:17" x14ac:dyDescent="0.25">
      <c r="A37" s="9"/>
      <c r="B37" s="92" t="s">
        <v>23</v>
      </c>
      <c r="C37" s="108">
        <f>IF(AVERAGE(Dati_OPTN!Q60:V60) &gt; Arrivi!C14, Arrivi!C14, AVERAGE(Dati_OPTN!Q60:V60))</f>
        <v>2782.5</v>
      </c>
      <c r="D37" s="108">
        <f>Uscite!$C37/365</f>
        <v>7.6232876712328768</v>
      </c>
      <c r="E37" s="123">
        <f>Uscite!$C37/Arrivi!C14</f>
        <v>0.88211983514741621</v>
      </c>
      <c r="G37" s="9"/>
      <c r="H37" s="92" t="s">
        <v>23</v>
      </c>
      <c r="I37" s="118">
        <f>Dati_OPTN!Q60/365</f>
        <v>7.3150684931506849</v>
      </c>
    </row>
    <row r="38" spans="1:17" x14ac:dyDescent="0.25">
      <c r="A38" s="9" t="s">
        <v>26</v>
      </c>
      <c r="B38" s="92" t="s">
        <v>17</v>
      </c>
      <c r="C38" s="108">
        <f>IF(AVERAGE(Dati_OPTN!Q61:V61) &gt; Arrivi!C15, Arrivi!C15, AVERAGE(Dati_OPTN!Q61:V61))</f>
        <v>1750.8333333333333</v>
      </c>
      <c r="D38" s="108">
        <f>Uscite!$C38/365</f>
        <v>4.7968036529680367</v>
      </c>
      <c r="E38" s="123">
        <f>Uscite!$C38/Arrivi!C15</f>
        <v>0.31803457358239229</v>
      </c>
      <c r="G38" s="9" t="s">
        <v>26</v>
      </c>
      <c r="H38" s="92" t="s">
        <v>17</v>
      </c>
      <c r="I38" s="118">
        <f>Dati_OPTN!Q61/365</f>
        <v>4.9068493150684933</v>
      </c>
    </row>
    <row r="39" spans="1:17" x14ac:dyDescent="0.25">
      <c r="A39" s="9"/>
      <c r="B39" s="92" t="s">
        <v>19</v>
      </c>
      <c r="C39" s="108">
        <f>IF(AVERAGE(Dati_OPTN!Q62:V62) &gt; Arrivi!C16, Arrivi!C16, AVERAGE(Dati_OPTN!Q62:V62))</f>
        <v>0</v>
      </c>
      <c r="D39" s="108">
        <f>Uscite!$C39/365</f>
        <v>0</v>
      </c>
      <c r="E39" s="123">
        <f>Uscite!$C39/Arrivi!C16</f>
        <v>0</v>
      </c>
      <c r="G39" s="9"/>
      <c r="H39" s="92" t="s">
        <v>19</v>
      </c>
      <c r="I39" s="118">
        <f>Dati_OPTN!Q62/365</f>
        <v>0</v>
      </c>
    </row>
    <row r="40" spans="1:17" x14ac:dyDescent="0.25">
      <c r="A40" s="9"/>
      <c r="B40" s="92" t="s">
        <v>21</v>
      </c>
      <c r="C40" s="108">
        <f>IF(AVERAGE(Dati_OPTN!Q63:V63) &gt; Arrivi!C17, Arrivi!C17, AVERAGE(Dati_OPTN!Q63:V63))</f>
        <v>454</v>
      </c>
      <c r="D40" s="108">
        <f>Uscite!$C40/365</f>
        <v>1.2438356164383562</v>
      </c>
      <c r="E40" s="123">
        <f>Uscite!$C40/Arrivi!C17</f>
        <v>0.1081467365412101</v>
      </c>
      <c r="G40" s="9"/>
      <c r="H40" s="92" t="s">
        <v>21</v>
      </c>
      <c r="I40" s="118">
        <f>Dati_OPTN!Q63/365</f>
        <v>1.3095890410958904</v>
      </c>
    </row>
    <row r="41" spans="1:17" x14ac:dyDescent="0.25">
      <c r="A41" s="9"/>
      <c r="B41" s="92" t="s">
        <v>23</v>
      </c>
      <c r="C41" s="108">
        <f>IF(AVERAGE(Dati_OPTN!Q64:V64) &gt; Arrivi!C18, Arrivi!C18, AVERAGE(Dati_OPTN!Q64:V64))</f>
        <v>1359.5</v>
      </c>
      <c r="D41" s="108">
        <f>Uscite!$C41/365</f>
        <v>3.7246575342465755</v>
      </c>
      <c r="E41" s="123">
        <f>Uscite!$C41/Arrivi!C18</f>
        <v>1</v>
      </c>
      <c r="G41" s="9"/>
      <c r="H41" s="92" t="s">
        <v>23</v>
      </c>
      <c r="I41" s="118">
        <f>Dati_OPTN!Q64/365</f>
        <v>4.1041095890410961</v>
      </c>
    </row>
    <row r="42" spans="1:17" x14ac:dyDescent="0.25">
      <c r="A42" s="9" t="s">
        <v>27</v>
      </c>
      <c r="B42" s="92" t="s">
        <v>17</v>
      </c>
      <c r="C42" s="108">
        <f>IF(AVERAGE(Dati_OPTN!Q65:V65) &gt; Arrivi!C19, Arrivi!C19, AVERAGE(Dati_OPTN!Q65:V65))</f>
        <v>309.83333333333331</v>
      </c>
      <c r="D42" s="108">
        <f>Uscite!$C42/365</f>
        <v>0.84885844748858441</v>
      </c>
      <c r="E42" s="123">
        <f>Uscite!$C42/Arrivi!C19</f>
        <v>0.21961015948021265</v>
      </c>
      <c r="G42" s="9" t="s">
        <v>27</v>
      </c>
      <c r="H42" s="92" t="s">
        <v>17</v>
      </c>
      <c r="I42" s="118">
        <f>Dati_OPTN!Q65/365</f>
        <v>0.74794520547945209</v>
      </c>
    </row>
    <row r="43" spans="1:17" x14ac:dyDescent="0.25">
      <c r="A43" s="9"/>
      <c r="B43" s="92" t="s">
        <v>19</v>
      </c>
      <c r="C43" s="108">
        <f>IF(AVERAGE(Dati_OPTN!Q66:V66) &gt; Arrivi!C20, Arrivi!C20, AVERAGE(Dati_OPTN!Q66:V66))</f>
        <v>0.5</v>
      </c>
      <c r="D43" s="108">
        <f>Uscite!$C43/365</f>
        <v>1.3698630136986301E-3</v>
      </c>
      <c r="E43" s="109">
        <f>Uscite!$C43/Arrivi!C20</f>
        <v>0.3</v>
      </c>
      <c r="G43" s="9"/>
      <c r="H43" s="92" t="s">
        <v>19</v>
      </c>
      <c r="I43" s="118">
        <f>Dati_OPTN!Q66/365</f>
        <v>0</v>
      </c>
    </row>
    <row r="44" spans="1:17" x14ac:dyDescent="0.25">
      <c r="A44" s="9"/>
      <c r="B44" s="92" t="s">
        <v>21</v>
      </c>
      <c r="C44" s="108">
        <f>IF(AVERAGE(Dati_OPTN!Q67:V67) &gt; Arrivi!C21, Arrivi!C21, AVERAGE(Dati_OPTN!Q67:V67))</f>
        <v>77</v>
      </c>
      <c r="D44" s="108">
        <f>Uscite!$C44/365</f>
        <v>0.21095890410958903</v>
      </c>
      <c r="E44" s="109">
        <f>Uscite!$C44/Arrivi!C21</f>
        <v>7.3251942286348501E-2</v>
      </c>
      <c r="G44" s="9"/>
      <c r="H44" s="92" t="s">
        <v>21</v>
      </c>
      <c r="I44" s="118">
        <f>Dati_OPTN!Q67/365</f>
        <v>0.23835616438356164</v>
      </c>
    </row>
    <row r="45" spans="1:17" x14ac:dyDescent="0.25">
      <c r="A45" s="91"/>
      <c r="B45" s="93" t="s">
        <v>23</v>
      </c>
      <c r="C45" s="110">
        <f>IF(AVERAGE(Dati_OPTN!Q68:V68) &gt; Arrivi!C22, Arrivi!C22, AVERAGE(Dati_OPTN!Q68:V68))</f>
        <v>275.83333333333331</v>
      </c>
      <c r="D45" s="110">
        <f>Uscite!$C45/365</f>
        <v>0.75570776255707761</v>
      </c>
      <c r="E45" s="111">
        <f>Uscite!$C45/Arrivi!C22</f>
        <v>0.74148745519713255</v>
      </c>
      <c r="G45" s="91"/>
      <c r="H45" s="93" t="s">
        <v>23</v>
      </c>
      <c r="I45" s="119">
        <f>Dati_OPTN!Q68/365</f>
        <v>0.63287671232876708</v>
      </c>
    </row>
    <row r="46" spans="1:17" x14ac:dyDescent="0.25">
      <c r="A46" s="6"/>
      <c r="B46" s="6"/>
      <c r="C46" s="10"/>
      <c r="D46" s="10"/>
      <c r="E46" s="10"/>
      <c r="G46" s="6"/>
      <c r="H46" s="6"/>
      <c r="I46" s="10"/>
      <c r="J46" s="10"/>
      <c r="L46" s="11"/>
      <c r="M46" s="11"/>
      <c r="N46" s="11"/>
      <c r="O46" s="11"/>
    </row>
    <row r="47" spans="1:17" ht="15.75" thickBot="1" x14ac:dyDescent="0.3">
      <c r="A47" s="6"/>
      <c r="B47" s="6"/>
      <c r="C47" s="10"/>
      <c r="D47" s="10"/>
      <c r="E47" s="10"/>
      <c r="F47" s="10"/>
      <c r="G47" s="10"/>
      <c r="H47" s="10"/>
      <c r="I47" s="11"/>
      <c r="J47" s="11"/>
      <c r="K47" s="11"/>
      <c r="L47" s="11"/>
      <c r="M47" s="11"/>
      <c r="N47" s="11"/>
      <c r="O47" s="11"/>
      <c r="P47" s="11"/>
      <c r="Q47" s="11"/>
    </row>
    <row r="48" spans="1:17" x14ac:dyDescent="0.25">
      <c r="A48" s="120" t="s">
        <v>206</v>
      </c>
      <c r="B48" s="120"/>
      <c r="C48" s="120"/>
      <c r="D48" s="120"/>
      <c r="E48" s="120"/>
      <c r="F48" s="10"/>
      <c r="G48" s="10"/>
      <c r="H48" s="10"/>
    </row>
    <row r="49" spans="1:8" x14ac:dyDescent="0.25">
      <c r="A49" s="103" t="s">
        <v>2</v>
      </c>
      <c r="B49" s="114" t="s">
        <v>3</v>
      </c>
      <c r="C49" s="115" t="s">
        <v>209</v>
      </c>
      <c r="D49" s="115" t="s">
        <v>210</v>
      </c>
      <c r="E49" s="114" t="s">
        <v>44</v>
      </c>
      <c r="F49" s="10"/>
      <c r="G49" s="10"/>
      <c r="H49" s="10"/>
    </row>
    <row r="50" spans="1:8" x14ac:dyDescent="0.25">
      <c r="A50" s="9" t="s">
        <v>16</v>
      </c>
      <c r="B50" s="92" t="s">
        <v>17</v>
      </c>
      <c r="C50" s="108">
        <f>AVERAGE(Dati_OPTN!C49:H49)</f>
        <v>19743.833333333332</v>
      </c>
      <c r="D50" s="108">
        <f>Uscite!$C50/365</f>
        <v>54.092694063926935</v>
      </c>
      <c r="E50" s="121">
        <f>Uscite!$C50/Arrivi!C3</f>
        <v>0.53338406191889132</v>
      </c>
    </row>
    <row r="51" spans="1:8" x14ac:dyDescent="0.25">
      <c r="A51" s="9"/>
      <c r="B51" s="92" t="s">
        <v>19</v>
      </c>
      <c r="C51" s="108">
        <f>AVERAGE(Dati_OPTN!C50:H50)</f>
        <v>16.5</v>
      </c>
      <c r="D51" s="108">
        <f>Uscite!$C51/365</f>
        <v>4.5205479452054796E-2</v>
      </c>
      <c r="E51" s="121">
        <f>Uscite!$C51/Arrivi!C4</f>
        <v>0.4419642857142857</v>
      </c>
    </row>
    <row r="52" spans="1:8" x14ac:dyDescent="0.25">
      <c r="A52" s="9"/>
      <c r="B52" s="92" t="s">
        <v>21</v>
      </c>
      <c r="C52" s="108">
        <f>AVERAGE(Dati_OPTN!C51:H51)</f>
        <v>18036.166666666668</v>
      </c>
      <c r="D52" s="108">
        <f>Uscite!$C52/365</f>
        <v>49.414155251141558</v>
      </c>
      <c r="E52" s="121">
        <f>Uscite!$C52/Arrivi!C5</f>
        <v>0.64403763636039024</v>
      </c>
    </row>
    <row r="53" spans="1:8" x14ac:dyDescent="0.25">
      <c r="A53" s="9"/>
      <c r="B53" s="92" t="s">
        <v>23</v>
      </c>
      <c r="C53" s="108">
        <f>AVERAGE(Dati_OPTN!C52:H52)</f>
        <v>1546</v>
      </c>
      <c r="D53" s="108">
        <f>Uscite!$C53/365</f>
        <v>4.2356164383561641</v>
      </c>
      <c r="E53" s="121">
        <f>Uscite!$C53/Arrivi!C6</f>
        <v>0.1653328580340433</v>
      </c>
    </row>
    <row r="54" spans="1:8" x14ac:dyDescent="0.25">
      <c r="A54" s="9" t="s">
        <v>24</v>
      </c>
      <c r="B54" s="92" t="s">
        <v>17</v>
      </c>
      <c r="C54" s="108">
        <f>AVERAGE(Dati_OPTN!C53:H53)</f>
        <v>8915.5</v>
      </c>
      <c r="D54" s="108">
        <f>Uscite!$C54/365</f>
        <v>24.426027397260274</v>
      </c>
      <c r="E54" s="121">
        <f>Uscite!$C54/Arrivi!C7</f>
        <v>0.49383320101179812</v>
      </c>
    </row>
    <row r="55" spans="1:8" x14ac:dyDescent="0.25">
      <c r="A55" s="9"/>
      <c r="B55" s="92" t="s">
        <v>19</v>
      </c>
      <c r="C55" s="108">
        <f>AVERAGE(Dati_OPTN!C54:H54)</f>
        <v>7.5</v>
      </c>
      <c r="D55" s="108">
        <f>Uscite!$C55/365</f>
        <v>2.0547945205479451E-2</v>
      </c>
      <c r="E55" s="121">
        <f>Uscite!$C55/Arrivi!C8</f>
        <v>0.39473684210526316</v>
      </c>
    </row>
    <row r="56" spans="1:8" x14ac:dyDescent="0.25">
      <c r="A56" s="9"/>
      <c r="B56" s="92" t="s">
        <v>21</v>
      </c>
      <c r="C56" s="108">
        <f>AVERAGE(Dati_OPTN!C55:H55)</f>
        <v>8187</v>
      </c>
      <c r="D56" s="108">
        <f>Uscite!$C56/365</f>
        <v>22.43013698630137</v>
      </c>
      <c r="E56" s="121">
        <f>Uscite!$C56/Arrivi!C9</f>
        <v>0.59527387300048473</v>
      </c>
    </row>
    <row r="57" spans="1:8" x14ac:dyDescent="0.25">
      <c r="A57" s="9"/>
      <c r="B57" s="92" t="s">
        <v>23</v>
      </c>
      <c r="C57" s="108">
        <f>AVERAGE(Dati_OPTN!C56:H56)</f>
        <v>657.16666666666663</v>
      </c>
      <c r="D57" s="108">
        <f>Uscite!$C57/365</f>
        <v>1.800456621004566</v>
      </c>
      <c r="E57" s="121">
        <f>Uscite!$C57/Arrivi!C10</f>
        <v>0.14718178424785366</v>
      </c>
    </row>
    <row r="58" spans="1:8" x14ac:dyDescent="0.25">
      <c r="A58" s="9" t="s">
        <v>25</v>
      </c>
      <c r="B58" s="92" t="s">
        <v>17</v>
      </c>
      <c r="C58" s="108">
        <f>AVERAGE(Dati_OPTN!C57:H57)</f>
        <v>7162.333333333333</v>
      </c>
      <c r="D58" s="108">
        <f>Uscite!$C58/365</f>
        <v>19.62283105022831</v>
      </c>
      <c r="E58" s="121">
        <f>Uscite!$C58/Arrivi!C11</f>
        <v>0.59452430031957726</v>
      </c>
    </row>
    <row r="59" spans="1:8" x14ac:dyDescent="0.25">
      <c r="A59" s="9"/>
      <c r="B59" s="92" t="s">
        <v>19</v>
      </c>
      <c r="C59" s="108">
        <f>AVERAGE(Dati_OPTN!C58:H58)</f>
        <v>4.333333333333333</v>
      </c>
      <c r="D59" s="108">
        <f>Uscite!$C59/365</f>
        <v>1.187214611872146E-2</v>
      </c>
      <c r="E59" s="121">
        <f>Uscite!$C59/Arrivi!C12</f>
        <v>0.40625</v>
      </c>
    </row>
    <row r="60" spans="1:8" x14ac:dyDescent="0.25">
      <c r="A60" s="9"/>
      <c r="B60" s="92" t="s">
        <v>21</v>
      </c>
      <c r="C60" s="108">
        <f>AVERAGE(Dati_OPTN!C59:H59)</f>
        <v>6475</v>
      </c>
      <c r="D60" s="108">
        <f>Uscite!$C60/365</f>
        <v>17.739726027397261</v>
      </c>
      <c r="E60" s="121">
        <f>Uscite!$C60/Arrivi!C13</f>
        <v>0.71919139562005963</v>
      </c>
    </row>
    <row r="61" spans="1:8" x14ac:dyDescent="0.25">
      <c r="A61" s="9"/>
      <c r="B61" s="92" t="s">
        <v>23</v>
      </c>
      <c r="C61" s="108">
        <f>AVERAGE(Dati_OPTN!C60:H60)</f>
        <v>625.33333333333337</v>
      </c>
      <c r="D61" s="108">
        <f>Uscite!$C61/365</f>
        <v>1.7132420091324201</v>
      </c>
      <c r="E61" s="121">
        <f>Uscite!$C61/Arrivi!C14</f>
        <v>0.19824579942935644</v>
      </c>
    </row>
    <row r="62" spans="1:8" x14ac:dyDescent="0.25">
      <c r="A62" s="9" t="s">
        <v>26</v>
      </c>
      <c r="B62" s="92" t="s">
        <v>17</v>
      </c>
      <c r="C62" s="108">
        <f>AVERAGE(Dati_OPTN!C61:H61)</f>
        <v>2700.5</v>
      </c>
      <c r="D62" s="108">
        <f>Uscite!$C62/365</f>
        <v>7.3986301369863012</v>
      </c>
      <c r="E62" s="121">
        <f>Uscite!$C62/Arrivi!C15</f>
        <v>0.49053919045744904</v>
      </c>
    </row>
    <row r="63" spans="1:8" x14ac:dyDescent="0.25">
      <c r="A63" s="9"/>
      <c r="B63" s="92" t="s">
        <v>19</v>
      </c>
      <c r="C63" s="108">
        <f>AVERAGE(Dati_OPTN!C62:H62)</f>
        <v>3.8333333333333335</v>
      </c>
      <c r="D63" s="108">
        <f>Uscite!$C63/365</f>
        <v>1.0502283105022832E-2</v>
      </c>
      <c r="E63" s="121">
        <f>Uscite!$C63/Arrivi!C16</f>
        <v>0.63888888888888895</v>
      </c>
    </row>
    <row r="64" spans="1:8" x14ac:dyDescent="0.25">
      <c r="A64" s="9"/>
      <c r="B64" s="92" t="s">
        <v>21</v>
      </c>
      <c r="C64" s="108">
        <f>AVERAGE(Dati_OPTN!C63:H63)</f>
        <v>2481.5</v>
      </c>
      <c r="D64" s="108">
        <f>Uscite!$C64/365</f>
        <v>6.7986301369863016</v>
      </c>
      <c r="E64" s="121">
        <f>Uscite!$C64/Arrivi!C17</f>
        <v>0.59111481657932352</v>
      </c>
    </row>
    <row r="65" spans="1:5" x14ac:dyDescent="0.25">
      <c r="A65" s="9"/>
      <c r="B65" s="92" t="s">
        <v>23</v>
      </c>
      <c r="C65" s="108">
        <f>AVERAGE(Dati_OPTN!C64:H64)</f>
        <v>198.16666666666666</v>
      </c>
      <c r="D65" s="108">
        <f>Uscite!$C65/365</f>
        <v>0.54292237442922375</v>
      </c>
      <c r="E65" s="121">
        <f>Uscite!$C65/Arrivi!C18</f>
        <v>0.14576437415716562</v>
      </c>
    </row>
    <row r="66" spans="1:5" x14ac:dyDescent="0.25">
      <c r="A66" s="9" t="s">
        <v>27</v>
      </c>
      <c r="B66" s="92" t="s">
        <v>17</v>
      </c>
      <c r="C66" s="108">
        <f>AVERAGE(Dati_OPTN!C65:H65)</f>
        <v>965.5</v>
      </c>
      <c r="D66" s="108">
        <f>Uscite!$C66/365</f>
        <v>2.6452054794520548</v>
      </c>
      <c r="E66" s="121">
        <f>Uscite!$C66/Arrivi!C19</f>
        <v>0.68434731246308333</v>
      </c>
    </row>
    <row r="67" spans="1:5" x14ac:dyDescent="0.25">
      <c r="A67" s="9"/>
      <c r="B67" s="92" t="s">
        <v>19</v>
      </c>
      <c r="C67" s="108">
        <f>AVERAGE(Dati_OPTN!C66:H66)</f>
        <v>0.83333333333333337</v>
      </c>
      <c r="D67" s="108">
        <f>Uscite!$C67/365</f>
        <v>2.2831050228310505E-3</v>
      </c>
      <c r="E67" s="121">
        <f>Uscite!$C67/Arrivi!C20</f>
        <v>0.5</v>
      </c>
    </row>
    <row r="68" spans="1:5" x14ac:dyDescent="0.25">
      <c r="A68" s="9"/>
      <c r="B68" s="92" t="s">
        <v>21</v>
      </c>
      <c r="C68" s="108">
        <f>AVERAGE(Dati_OPTN!C67:H67)</f>
        <v>892.66666666666663</v>
      </c>
      <c r="D68" s="108">
        <f>Uscite!$C68/365</f>
        <v>2.4456621004566208</v>
      </c>
      <c r="E68" s="121">
        <f>Uscite!$C68/Arrivi!C21</f>
        <v>0.84921515776121759</v>
      </c>
    </row>
    <row r="69" spans="1:5" x14ac:dyDescent="0.25">
      <c r="A69" s="91"/>
      <c r="B69" s="93" t="s">
        <v>23</v>
      </c>
      <c r="C69" s="110">
        <f>AVERAGE(Dati_OPTN!C68:H68)</f>
        <v>65.333333333333329</v>
      </c>
      <c r="D69" s="110">
        <f>Uscite!$C69/365</f>
        <v>0.17899543378995433</v>
      </c>
      <c r="E69" s="122">
        <f>Uscite!$C69/Arrivi!C22</f>
        <v>0.17562724014336917</v>
      </c>
    </row>
  </sheetData>
  <mergeCells count="5">
    <mergeCell ref="A1:E1"/>
    <mergeCell ref="G1:I1"/>
    <mergeCell ref="A24:E24"/>
    <mergeCell ref="G24:I24"/>
    <mergeCell ref="A48:E48"/>
  </mergeCells>
  <pageMargins left="0.7" right="0.7" top="0.75" bottom="0.75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35"/>
  <sheetViews>
    <sheetView zoomScaleNormal="100" workbookViewId="0">
      <selection activeCell="C3" sqref="C3"/>
    </sheetView>
  </sheetViews>
  <sheetFormatPr defaultColWidth="8.7109375" defaultRowHeight="15" x14ac:dyDescent="0.25"/>
  <cols>
    <col min="2" max="3" width="20.140625" customWidth="1"/>
    <col min="4" max="4" width="21.140625" customWidth="1"/>
    <col min="5" max="5" width="23.140625" customWidth="1"/>
    <col min="6" max="6" width="19.42578125" customWidth="1"/>
    <col min="7" max="7" width="11.5703125" customWidth="1"/>
    <col min="8" max="8" width="11" customWidth="1"/>
  </cols>
  <sheetData>
    <row r="1" spans="1:8" x14ac:dyDescent="0.25">
      <c r="A1" s="45" t="s">
        <v>63</v>
      </c>
      <c r="B1" s="45"/>
      <c r="C1" s="45"/>
      <c r="D1" s="45"/>
      <c r="E1" s="45"/>
      <c r="F1" s="45"/>
      <c r="G1" s="45"/>
      <c r="H1" s="45"/>
    </row>
    <row r="2" spans="1:8" x14ac:dyDescent="0.25">
      <c r="A2" s="13" t="s">
        <v>2</v>
      </c>
      <c r="B2" s="29" t="s">
        <v>57</v>
      </c>
      <c r="C2" s="30" t="s">
        <v>64</v>
      </c>
      <c r="D2" s="30" t="s">
        <v>65</v>
      </c>
      <c r="E2" s="31" t="s">
        <v>198</v>
      </c>
      <c r="F2" s="12" t="s">
        <v>47</v>
      </c>
      <c r="G2" s="13" t="s">
        <v>50</v>
      </c>
      <c r="H2" s="13" t="s">
        <v>52</v>
      </c>
    </row>
    <row r="3" spans="1:8" x14ac:dyDescent="0.25">
      <c r="A3" s="27" t="s">
        <v>24</v>
      </c>
      <c r="B3" s="28">
        <v>12.2328767123288</v>
      </c>
      <c r="C3" s="28">
        <v>0.32265770810003735</v>
      </c>
      <c r="D3" s="28">
        <v>1</v>
      </c>
      <c r="E3" s="32">
        <f>IF(B3*(1-C3-D3) &lt; 0, 0, B3*(1-C3-D3))</f>
        <v>0</v>
      </c>
      <c r="F3" s="22">
        <f>(5*365)/2</f>
        <v>912.5</v>
      </c>
      <c r="G3" s="22">
        <f t="shared" ref="F3:G6" si="0">(5*365)/2</f>
        <v>912.5</v>
      </c>
      <c r="H3" s="22">
        <f>G3*B3</f>
        <v>11162.500000000029</v>
      </c>
    </row>
    <row r="4" spans="1:8" x14ac:dyDescent="0.25">
      <c r="A4" s="17" t="s">
        <v>25</v>
      </c>
      <c r="B4" s="19">
        <v>8.6420091324200907</v>
      </c>
      <c r="C4" s="19">
        <v>0.26888935855436963</v>
      </c>
      <c r="D4" s="19">
        <v>0.88211983514741621</v>
      </c>
      <c r="E4" s="32">
        <f t="shared" ref="E4:E6" si="1">IF(B4*(1-C4-D4) &lt; 0, 0, B4*(1-C4-D4))</f>
        <v>0</v>
      </c>
      <c r="F4" s="22">
        <f>(5*365)/2</f>
        <v>912.5</v>
      </c>
      <c r="G4" s="22">
        <f t="shared" si="0"/>
        <v>912.5</v>
      </c>
      <c r="H4" s="22">
        <f t="shared" ref="H4:H6" si="2">G4*B4</f>
        <v>7885.833333333333</v>
      </c>
    </row>
    <row r="5" spans="1:8" x14ac:dyDescent="0.25">
      <c r="A5" s="17" t="s">
        <v>26</v>
      </c>
      <c r="B5" s="19">
        <v>3.72465753424658</v>
      </c>
      <c r="C5" s="19">
        <v>0.32548731151158516</v>
      </c>
      <c r="D5" s="19">
        <v>1</v>
      </c>
      <c r="E5" s="32">
        <f t="shared" si="1"/>
        <v>0</v>
      </c>
      <c r="F5" s="22">
        <f t="shared" si="0"/>
        <v>912.5</v>
      </c>
      <c r="G5" s="22">
        <f t="shared" si="0"/>
        <v>912.5</v>
      </c>
      <c r="H5" s="22">
        <f t="shared" si="2"/>
        <v>3398.7500000000041</v>
      </c>
    </row>
    <row r="6" spans="1:8" x14ac:dyDescent="0.25">
      <c r="A6" s="17" t="s">
        <v>27</v>
      </c>
      <c r="B6" s="19">
        <v>1.01917808219178</v>
      </c>
      <c r="C6" s="19">
        <v>0.22087813620071686</v>
      </c>
      <c r="D6" s="19">
        <v>0.74148745519713255</v>
      </c>
      <c r="E6" s="32">
        <f t="shared" si="1"/>
        <v>3.8356164383561688E-2</v>
      </c>
      <c r="F6" s="22">
        <f t="shared" si="0"/>
        <v>912.5</v>
      </c>
      <c r="G6" s="22">
        <f t="shared" si="0"/>
        <v>912.5</v>
      </c>
      <c r="H6" s="22">
        <f t="shared" si="2"/>
        <v>929.9999999999992</v>
      </c>
    </row>
    <row r="7" spans="1:8" x14ac:dyDescent="0.25">
      <c r="A7" s="25"/>
      <c r="B7" s="25"/>
      <c r="C7" s="25"/>
      <c r="D7" s="25"/>
      <c r="E7" s="33"/>
      <c r="F7" s="8"/>
      <c r="G7" s="8"/>
    </row>
    <row r="8" spans="1:8" x14ac:dyDescent="0.25">
      <c r="A8" s="45" t="s">
        <v>66</v>
      </c>
      <c r="B8" s="45"/>
      <c r="C8" s="45"/>
      <c r="D8" s="45"/>
      <c r="E8" s="45"/>
      <c r="F8" s="45"/>
    </row>
    <row r="9" spans="1:8" x14ac:dyDescent="0.25">
      <c r="A9" s="29" t="s">
        <v>2</v>
      </c>
      <c r="B9" s="30" t="s">
        <v>3</v>
      </c>
      <c r="C9" s="30" t="s">
        <v>53</v>
      </c>
      <c r="D9" s="30" t="s">
        <v>54</v>
      </c>
      <c r="E9" s="34" t="s">
        <v>55</v>
      </c>
      <c r="F9" s="13" t="s">
        <v>56</v>
      </c>
    </row>
    <row r="10" spans="1:8" x14ac:dyDescent="0.25">
      <c r="A10" s="27" t="s">
        <v>24</v>
      </c>
      <c r="B10" s="14" t="s">
        <v>19</v>
      </c>
      <c r="C10" s="28">
        <v>5.2054794520548002E-2</v>
      </c>
      <c r="D10" s="28">
        <v>2.7397260273972599E-3</v>
      </c>
      <c r="E10" s="28">
        <v>6.3926940639269401E-3</v>
      </c>
      <c r="F10" s="35">
        <v>4.2922374429223698E-2</v>
      </c>
    </row>
    <row r="11" spans="1:8" x14ac:dyDescent="0.25">
      <c r="A11" s="24"/>
      <c r="B11" s="18" t="s">
        <v>21</v>
      </c>
      <c r="C11" s="19">
        <v>37.6803652968037</v>
      </c>
      <c r="D11" s="19">
        <v>2.5036529680365298</v>
      </c>
      <c r="E11" s="19">
        <v>4.1684931506849301</v>
      </c>
      <c r="F11" s="36">
        <v>31.0082191780822</v>
      </c>
    </row>
    <row r="12" spans="1:8" x14ac:dyDescent="0.25">
      <c r="A12" s="17" t="s">
        <v>25</v>
      </c>
      <c r="B12" s="18" t="s">
        <v>19</v>
      </c>
      <c r="C12" s="19">
        <v>2.92237442922374E-2</v>
      </c>
      <c r="D12" s="19">
        <v>9.1324200913241995E-4</v>
      </c>
      <c r="E12" s="19">
        <v>1.3698630136986299E-3</v>
      </c>
      <c r="F12" s="36">
        <v>2.6940639269406399E-2</v>
      </c>
    </row>
    <row r="13" spans="1:8" x14ac:dyDescent="0.25">
      <c r="A13" s="24"/>
      <c r="B13" s="18" t="s">
        <v>21</v>
      </c>
      <c r="C13" s="19">
        <v>24.666210045662101</v>
      </c>
      <c r="D13" s="19">
        <v>1.2205479452054799</v>
      </c>
      <c r="E13" s="19">
        <v>2.3378995433790002</v>
      </c>
      <c r="F13" s="36">
        <v>21.107762557077599</v>
      </c>
    </row>
    <row r="14" spans="1:8" x14ac:dyDescent="0.25">
      <c r="A14" s="17" t="s">
        <v>26</v>
      </c>
      <c r="B14" s="18" t="s">
        <v>19</v>
      </c>
      <c r="C14" s="19">
        <v>1.6438356164383602E-2</v>
      </c>
      <c r="D14" s="19">
        <v>0</v>
      </c>
      <c r="E14" s="19">
        <v>0</v>
      </c>
      <c r="F14" s="36">
        <v>1.6438356164383602E-2</v>
      </c>
    </row>
    <row r="15" spans="1:8" x14ac:dyDescent="0.25">
      <c r="A15" s="24"/>
      <c r="B15" s="18" t="s">
        <v>21</v>
      </c>
      <c r="C15" s="19">
        <v>11.5013698630137</v>
      </c>
      <c r="D15" s="19">
        <v>0.77579908675799103</v>
      </c>
      <c r="E15" s="19">
        <v>1.2438356164383599</v>
      </c>
      <c r="F15" s="36">
        <v>9.4817351598173492</v>
      </c>
    </row>
    <row r="16" spans="1:8" x14ac:dyDescent="0.25">
      <c r="A16" s="17" t="s">
        <v>27</v>
      </c>
      <c r="B16" s="18" t="s">
        <v>19</v>
      </c>
      <c r="C16" s="19">
        <v>4.5662100456621002E-3</v>
      </c>
      <c r="D16" s="19">
        <v>0</v>
      </c>
      <c r="E16" s="19">
        <v>1.3698630136986299E-3</v>
      </c>
      <c r="F16" s="36">
        <v>3.1963470319634701E-3</v>
      </c>
    </row>
    <row r="17" spans="1:13" x14ac:dyDescent="0.25">
      <c r="A17" s="24"/>
      <c r="B17" s="18" t="s">
        <v>21</v>
      </c>
      <c r="C17" s="19">
        <v>2.8799086757990899</v>
      </c>
      <c r="D17" s="19">
        <v>0.105479452054795</v>
      </c>
      <c r="E17" s="19">
        <v>0.21095890410958901</v>
      </c>
      <c r="F17" s="36">
        <v>2.5634703196347002</v>
      </c>
    </row>
    <row r="18" spans="1:13" x14ac:dyDescent="0.25">
      <c r="A18" s="25"/>
      <c r="B18" s="25"/>
      <c r="C18" s="25"/>
      <c r="D18" s="25"/>
      <c r="E18" s="25"/>
      <c r="F18" s="33"/>
    </row>
    <row r="19" spans="1:13" x14ac:dyDescent="0.25">
      <c r="A19" s="45" t="s">
        <v>67</v>
      </c>
      <c r="B19" s="45"/>
      <c r="C19" s="45"/>
      <c r="D19" s="25"/>
      <c r="E19" s="46" t="s">
        <v>68</v>
      </c>
      <c r="F19" s="46"/>
      <c r="G19" s="46"/>
      <c r="H19" s="46"/>
      <c r="I19" s="46"/>
      <c r="J19" s="46"/>
      <c r="K19" s="46"/>
      <c r="L19" s="46"/>
      <c r="M19" s="46"/>
    </row>
    <row r="20" spans="1:13" x14ac:dyDescent="0.25">
      <c r="A20" s="29" t="s">
        <v>2</v>
      </c>
      <c r="B20" s="30" t="s">
        <v>41</v>
      </c>
      <c r="C20" s="31" t="s">
        <v>57</v>
      </c>
      <c r="E20" s="29" t="s">
        <v>2</v>
      </c>
      <c r="F20" s="30" t="s">
        <v>3</v>
      </c>
      <c r="G20" s="26" t="s">
        <v>47</v>
      </c>
      <c r="H20" s="1" t="s">
        <v>48</v>
      </c>
      <c r="I20" s="1"/>
      <c r="J20" s="13" t="s">
        <v>49</v>
      </c>
      <c r="K20" s="13" t="s">
        <v>50</v>
      </c>
      <c r="L20" s="13" t="s">
        <v>51</v>
      </c>
      <c r="M20" s="13" t="s">
        <v>52</v>
      </c>
    </row>
    <row r="21" spans="1:13" x14ac:dyDescent="0.25">
      <c r="A21" s="37" t="s">
        <v>24</v>
      </c>
      <c r="B21" s="38" t="s">
        <v>60</v>
      </c>
      <c r="C21" s="28">
        <v>22.4118721461187</v>
      </c>
      <c r="E21" s="39"/>
      <c r="F21" s="40"/>
      <c r="G21" s="41"/>
      <c r="H21" s="15" t="s">
        <v>58</v>
      </c>
      <c r="I21" s="16" t="s">
        <v>59</v>
      </c>
      <c r="J21" s="42"/>
      <c r="K21" s="42"/>
      <c r="L21" s="42"/>
      <c r="M21" s="43"/>
    </row>
    <row r="22" spans="1:13" x14ac:dyDescent="0.25">
      <c r="A22" s="20"/>
      <c r="B22" s="21" t="s">
        <v>61</v>
      </c>
      <c r="C22" s="19">
        <v>12.1068493150685</v>
      </c>
      <c r="E22" s="27" t="s">
        <v>24</v>
      </c>
      <c r="F22" s="14" t="s">
        <v>19</v>
      </c>
      <c r="G22" s="23">
        <f>1/(C$21)</f>
        <v>4.4619208671203336E-2</v>
      </c>
      <c r="H22" s="23" t="e">
        <f>#REF!*G22</f>
        <v>#REF!</v>
      </c>
      <c r="I22" s="23" t="e">
        <f>SUM(H22:H23)</f>
        <v>#REF!</v>
      </c>
      <c r="J22" s="23" t="e">
        <f t="shared" ref="J22:J29" si="3">IF(F22="Critical",(I22*G22)/(1-H22),IF(F22="Normal",(I22*G22)/((1-H21)*(1-I22))))</f>
        <v>#REF!</v>
      </c>
      <c r="K22" s="23" t="e">
        <f t="shared" ref="K22:K29" si="4">J22+G22</f>
        <v>#REF!</v>
      </c>
      <c r="L22" s="23" t="e">
        <f>J22*#REF!</f>
        <v>#REF!</v>
      </c>
      <c r="M22" s="23" t="e">
        <f>K22*#REF!</f>
        <v>#REF!</v>
      </c>
    </row>
    <row r="23" spans="1:13" x14ac:dyDescent="0.25">
      <c r="A23" s="20"/>
      <c r="B23" s="21" t="s">
        <v>62</v>
      </c>
      <c r="C23" s="19">
        <v>10.3050228310502</v>
      </c>
      <c r="E23" s="24"/>
      <c r="F23" s="18" t="s">
        <v>21</v>
      </c>
      <c r="G23" s="22">
        <f>G22</f>
        <v>4.4619208671203336E-2</v>
      </c>
      <c r="H23" s="23" t="e">
        <f>#REF!*G23</f>
        <v>#REF!</v>
      </c>
      <c r="I23" s="23" t="e">
        <f>I22</f>
        <v>#REF!</v>
      </c>
      <c r="J23" s="23" t="e">
        <f t="shared" si="3"/>
        <v>#REF!</v>
      </c>
      <c r="K23" s="23" t="e">
        <f t="shared" si="4"/>
        <v>#REF!</v>
      </c>
      <c r="L23" s="23" t="e">
        <f>J23*#REF!</f>
        <v>#REF!</v>
      </c>
      <c r="M23" s="23" t="e">
        <f>K23*#REF!</f>
        <v>#REF!</v>
      </c>
    </row>
    <row r="24" spans="1:13" x14ac:dyDescent="0.25">
      <c r="A24" s="20" t="s">
        <v>25</v>
      </c>
      <c r="B24" s="21" t="s">
        <v>60</v>
      </c>
      <c r="C24" s="19">
        <v>13.938356164383601</v>
      </c>
      <c r="E24" s="17" t="s">
        <v>25</v>
      </c>
      <c r="F24" s="18" t="s">
        <v>19</v>
      </c>
      <c r="G24" s="22">
        <f>1/(C24)</f>
        <v>7.1744471744471544E-2</v>
      </c>
      <c r="H24" s="23" t="e">
        <f>#REF!*G24</f>
        <v>#REF!</v>
      </c>
      <c r="I24" s="23" t="e">
        <f>SUM(H24:H25)</f>
        <v>#REF!</v>
      </c>
      <c r="J24" s="23" t="e">
        <f t="shared" si="3"/>
        <v>#REF!</v>
      </c>
      <c r="K24" s="23" t="e">
        <f t="shared" si="4"/>
        <v>#REF!</v>
      </c>
      <c r="L24" s="23" t="e">
        <f>J24*#REF!</f>
        <v>#REF!</v>
      </c>
      <c r="M24" s="23" t="e">
        <f>K24*#REF!</f>
        <v>#REF!</v>
      </c>
    </row>
    <row r="25" spans="1:13" x14ac:dyDescent="0.25">
      <c r="A25" s="20"/>
      <c r="B25" s="21" t="s">
        <v>61</v>
      </c>
      <c r="C25" s="19">
        <v>9.3986301369863003</v>
      </c>
      <c r="E25" s="24"/>
      <c r="F25" s="18" t="s">
        <v>21</v>
      </c>
      <c r="G25" s="22">
        <f>G24</f>
        <v>7.1744471744471544E-2</v>
      </c>
      <c r="H25" s="23" t="e">
        <f>#REF!*G25</f>
        <v>#REF!</v>
      </c>
      <c r="I25" s="23" t="e">
        <f>I24</f>
        <v>#REF!</v>
      </c>
      <c r="J25" s="23" t="e">
        <f t="shared" si="3"/>
        <v>#REF!</v>
      </c>
      <c r="K25" s="23" t="e">
        <f t="shared" si="4"/>
        <v>#REF!</v>
      </c>
      <c r="L25" s="23" t="e">
        <f>J25*#REF!</f>
        <v>#REF!</v>
      </c>
      <c r="M25" s="23" t="e">
        <f>K25*#REF!</f>
        <v>#REF!</v>
      </c>
    </row>
    <row r="26" spans="1:13" x14ac:dyDescent="0.25">
      <c r="A26" s="20"/>
      <c r="B26" s="21" t="s">
        <v>62</v>
      </c>
      <c r="C26" s="19">
        <v>4.5397260273972604</v>
      </c>
      <c r="E26" s="17" t="s">
        <v>26</v>
      </c>
      <c r="F26" s="18" t="s">
        <v>19</v>
      </c>
      <c r="G26" s="22">
        <f>1/(C27)</f>
        <v>0.23125659978880669</v>
      </c>
      <c r="H26" s="23" t="e">
        <f>#REF!*G26</f>
        <v>#REF!</v>
      </c>
      <c r="I26" s="22" t="e">
        <f>SUM(H26:H27)</f>
        <v>#REF!</v>
      </c>
      <c r="J26" s="23" t="e">
        <f t="shared" si="3"/>
        <v>#REF!</v>
      </c>
      <c r="K26" s="23" t="e">
        <f t="shared" si="4"/>
        <v>#REF!</v>
      </c>
      <c r="L26" s="23" t="e">
        <f>J26*#REF!</f>
        <v>#REF!</v>
      </c>
      <c r="M26" s="23" t="e">
        <f>K26*#REF!</f>
        <v>#REF!</v>
      </c>
    </row>
    <row r="27" spans="1:13" x14ac:dyDescent="0.25">
      <c r="A27" s="20" t="s">
        <v>26</v>
      </c>
      <c r="B27" s="21" t="s">
        <v>60</v>
      </c>
      <c r="C27" s="19">
        <v>4.3242009132420103</v>
      </c>
      <c r="E27" s="24"/>
      <c r="F27" s="18" t="s">
        <v>21</v>
      </c>
      <c r="G27" s="22">
        <f>G26</f>
        <v>0.23125659978880669</v>
      </c>
      <c r="H27" s="23" t="e">
        <f>#REF!*G27</f>
        <v>#REF!</v>
      </c>
      <c r="I27" s="22" t="e">
        <f>I26</f>
        <v>#REF!</v>
      </c>
      <c r="J27" s="23" t="e">
        <f t="shared" si="3"/>
        <v>#REF!</v>
      </c>
      <c r="K27" s="23" t="e">
        <f t="shared" si="4"/>
        <v>#REF!</v>
      </c>
      <c r="L27" s="23" t="e">
        <f>J27*#REF!</f>
        <v>#REF!</v>
      </c>
      <c r="M27" s="23" t="e">
        <f>K27*#REF!</f>
        <v>#REF!</v>
      </c>
    </row>
    <row r="28" spans="1:13" x14ac:dyDescent="0.25">
      <c r="A28" s="20"/>
      <c r="B28" s="21" t="s">
        <v>61</v>
      </c>
      <c r="C28" s="19">
        <v>2.9876712328767101</v>
      </c>
      <c r="E28" s="17" t="s">
        <v>27</v>
      </c>
      <c r="F28" s="18" t="s">
        <v>19</v>
      </c>
      <c r="G28" s="22">
        <f>1/(C30)</f>
        <v>0.91708542713567809</v>
      </c>
      <c r="H28" s="23" t="e">
        <f>#REF!*G28</f>
        <v>#REF!</v>
      </c>
      <c r="I28" s="22" t="e">
        <f>SUM(H28:H29)</f>
        <v>#REF!</v>
      </c>
      <c r="J28" s="23" t="e">
        <f t="shared" si="3"/>
        <v>#REF!</v>
      </c>
      <c r="K28" s="23" t="e">
        <f t="shared" si="4"/>
        <v>#REF!</v>
      </c>
      <c r="L28" s="23" t="e">
        <f>J28*#REF!</f>
        <v>#REF!</v>
      </c>
      <c r="M28" s="23" t="e">
        <f>K28*#REF!</f>
        <v>#REF!</v>
      </c>
    </row>
    <row r="29" spans="1:13" x14ac:dyDescent="0.25">
      <c r="A29" s="20"/>
      <c r="B29" s="21" t="s">
        <v>62</v>
      </c>
      <c r="C29" s="19">
        <v>1.3365296803653</v>
      </c>
      <c r="E29" s="24"/>
      <c r="F29" s="18" t="s">
        <v>21</v>
      </c>
      <c r="G29" s="22">
        <f>G28</f>
        <v>0.91708542713567809</v>
      </c>
      <c r="H29" s="23" t="e">
        <f>#REF!*G29</f>
        <v>#REF!</v>
      </c>
      <c r="I29" s="22" t="e">
        <f>I28</f>
        <v>#REF!</v>
      </c>
      <c r="J29" s="23" t="e">
        <f t="shared" si="3"/>
        <v>#REF!</v>
      </c>
      <c r="K29" s="23" t="e">
        <f t="shared" si="4"/>
        <v>#REF!</v>
      </c>
      <c r="L29" s="23" t="e">
        <f>J29*#REF!</f>
        <v>#REF!</v>
      </c>
      <c r="M29" s="23" t="e">
        <f>K29*#REF!</f>
        <v>#REF!</v>
      </c>
    </row>
    <row r="30" spans="1:13" x14ac:dyDescent="0.25">
      <c r="A30" s="20" t="s">
        <v>27</v>
      </c>
      <c r="B30" s="21" t="s">
        <v>60</v>
      </c>
      <c r="C30" s="19">
        <v>1.09041095890411</v>
      </c>
      <c r="E30" s="25"/>
      <c r="F30" s="25"/>
      <c r="G30" s="25"/>
      <c r="H30" s="25"/>
      <c r="I30" s="25"/>
      <c r="J30" s="25"/>
      <c r="K30" s="25"/>
      <c r="L30" s="25"/>
      <c r="M30" s="25"/>
    </row>
    <row r="31" spans="1:13" x14ac:dyDescent="0.25">
      <c r="A31" s="20"/>
      <c r="B31" s="21" t="s">
        <v>61</v>
      </c>
      <c r="C31" s="19">
        <v>0.87168949771689497</v>
      </c>
      <c r="E31" s="25"/>
      <c r="F31" s="25"/>
      <c r="G31" s="25"/>
      <c r="H31" s="25"/>
      <c r="I31" s="25"/>
      <c r="J31" s="25"/>
      <c r="K31" s="25"/>
      <c r="L31" s="25"/>
      <c r="M31" s="25"/>
    </row>
    <row r="32" spans="1:13" x14ac:dyDescent="0.25">
      <c r="A32" s="20"/>
      <c r="B32" s="21" t="s">
        <v>62</v>
      </c>
      <c r="C32" s="19">
        <v>0.218721461187215</v>
      </c>
      <c r="E32" s="25"/>
      <c r="F32" s="25"/>
      <c r="G32" s="25"/>
      <c r="H32" s="25"/>
      <c r="I32" s="25"/>
      <c r="J32" s="25"/>
      <c r="K32" s="25"/>
      <c r="L32" s="25"/>
      <c r="M32" s="25"/>
    </row>
    <row r="33" spans="1:13" x14ac:dyDescent="0.25">
      <c r="A33" s="25"/>
      <c r="B33" s="25"/>
      <c r="C33" s="25"/>
      <c r="E33" s="25"/>
      <c r="F33" s="25"/>
      <c r="G33" s="25"/>
      <c r="H33" s="25"/>
      <c r="I33" s="25"/>
      <c r="J33" s="25"/>
      <c r="K33" s="25"/>
      <c r="L33" s="25"/>
      <c r="M33" s="25"/>
    </row>
    <row r="34" spans="1:13" x14ac:dyDescent="0.25">
      <c r="D34" s="25"/>
      <c r="E34" s="25"/>
      <c r="F34" s="25"/>
      <c r="G34" s="25"/>
      <c r="H34" s="25"/>
      <c r="I34" s="25"/>
      <c r="J34" s="25"/>
      <c r="K34" s="25"/>
      <c r="L34" s="25"/>
      <c r="M34" s="25"/>
    </row>
    <row r="35" spans="1:13" x14ac:dyDescent="0.25">
      <c r="E35" s="33"/>
      <c r="F35" s="25"/>
    </row>
  </sheetData>
  <mergeCells count="5">
    <mergeCell ref="A1:H1"/>
    <mergeCell ref="A8:F8"/>
    <mergeCell ref="A19:C19"/>
    <mergeCell ref="E19:M19"/>
    <mergeCell ref="H20:I20"/>
  </mergeCells>
  <pageMargins left="0.7" right="0.7" top="0.75" bottom="0.75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C122"/>
  <sheetViews>
    <sheetView zoomScaleNormal="100" workbookViewId="0">
      <selection activeCell="Q8" sqref="Q8"/>
    </sheetView>
  </sheetViews>
  <sheetFormatPr defaultColWidth="8.7109375" defaultRowHeight="15" x14ac:dyDescent="0.25"/>
  <cols>
    <col min="2" max="2" width="18.140625" customWidth="1"/>
    <col min="5" max="5" width="12.7109375" customWidth="1"/>
    <col min="6" max="6" width="15.140625" customWidth="1"/>
    <col min="19" max="19" width="13.85546875" customWidth="1"/>
    <col min="20" max="20" width="11.42578125" customWidth="1"/>
  </cols>
  <sheetData>
    <row r="1" spans="1:16" x14ac:dyDescent="0.25">
      <c r="A1" s="4" t="s">
        <v>69</v>
      </c>
      <c r="B1" s="4"/>
      <c r="C1" s="4"/>
      <c r="D1" s="4"/>
      <c r="E1" s="4"/>
      <c r="F1" s="6"/>
      <c r="G1" s="4" t="s">
        <v>70</v>
      </c>
      <c r="H1" s="4"/>
      <c r="I1" s="4"/>
      <c r="J1" s="4"/>
      <c r="K1" s="4"/>
      <c r="L1" s="4"/>
      <c r="M1" s="4"/>
    </row>
    <row r="2" spans="1:16" x14ac:dyDescent="0.25">
      <c r="A2" s="6" t="s">
        <v>71</v>
      </c>
      <c r="B2" s="3" t="s">
        <v>72</v>
      </c>
      <c r="C2" s="3"/>
      <c r="D2" s="6" t="s">
        <v>73</v>
      </c>
      <c r="E2" s="6" t="s">
        <v>74</v>
      </c>
      <c r="F2" s="6"/>
      <c r="G2" s="6" t="s">
        <v>71</v>
      </c>
      <c r="H2" s="3" t="s">
        <v>72</v>
      </c>
      <c r="I2" s="3"/>
      <c r="J2" s="3"/>
      <c r="K2" s="6" t="s">
        <v>75</v>
      </c>
      <c r="L2" s="6" t="s">
        <v>76</v>
      </c>
      <c r="M2" s="6" t="s">
        <v>74</v>
      </c>
    </row>
    <row r="3" spans="1:16" x14ac:dyDescent="0.25">
      <c r="A3" t="s">
        <v>24</v>
      </c>
      <c r="B3" s="2" t="s">
        <v>77</v>
      </c>
      <c r="C3" s="2"/>
      <c r="D3">
        <f>Dati_OPTN!C30/(Dati_OPTN!C7+Dati_OPTN!Q53)</f>
        <v>8.1341378510095153E-2</v>
      </c>
      <c r="E3">
        <f>D3+0.02</f>
        <v>0.10134137851009516</v>
      </c>
      <c r="G3" t="s">
        <v>24</v>
      </c>
      <c r="H3" s="2" t="s">
        <v>78</v>
      </c>
      <c r="I3" s="2"/>
      <c r="J3" s="2"/>
      <c r="K3">
        <f>Dati_OPTN!Q53/(Dati_OPTN!C30+Dati_OPTN!C7)</f>
        <v>0.25688980802949241</v>
      </c>
      <c r="L3">
        <v>0.25</v>
      </c>
      <c r="M3">
        <f>K3+L3</f>
        <v>0.50688980802949235</v>
      </c>
    </row>
    <row r="4" spans="1:16" x14ac:dyDescent="0.25">
      <c r="A4" t="s">
        <v>25</v>
      </c>
      <c r="B4" s="2" t="s">
        <v>77</v>
      </c>
      <c r="C4" s="2"/>
      <c r="D4">
        <f>Dati_OPTN!C34/(Dati_OPTN!C11+Dati_OPTN!Q57)</f>
        <v>6.3278071294103358E-2</v>
      </c>
      <c r="E4">
        <f>D4+0.02</f>
        <v>8.3278071294103362E-2</v>
      </c>
      <c r="G4" t="s">
        <v>25</v>
      </c>
      <c r="H4" s="2" t="s">
        <v>78</v>
      </c>
      <c r="I4" s="2"/>
      <c r="J4" s="2"/>
      <c r="K4">
        <f>Dati_OPTN!Q57/(Dati_OPTN!C34+Dati_OPTN!C11)</f>
        <v>0.22013937282229964</v>
      </c>
      <c r="L4">
        <v>0.32</v>
      </c>
      <c r="M4">
        <f>K4+L4</f>
        <v>0.54013937282229962</v>
      </c>
    </row>
    <row r="5" spans="1:16" x14ac:dyDescent="0.25">
      <c r="A5" t="s">
        <v>26</v>
      </c>
      <c r="B5" s="2" t="s">
        <v>77</v>
      </c>
      <c r="C5" s="2"/>
      <c r="D5">
        <f>Dati_OPTN!C38/(Dati_OPTN!C15+Dati_OPTN!Q61)</f>
        <v>8.0071174377224205E-2</v>
      </c>
      <c r="E5">
        <f>D5+0.02</f>
        <v>0.10007117437722421</v>
      </c>
      <c r="G5" t="s">
        <v>26</v>
      </c>
      <c r="H5" s="2" t="s">
        <v>78</v>
      </c>
      <c r="I5" s="2"/>
      <c r="J5" s="2"/>
      <c r="K5">
        <f>Dati_OPTN!Q61/(Dati_OPTN!C38+Dati_OPTN!C15)</f>
        <v>0.26703444162814971</v>
      </c>
      <c r="L5">
        <v>0.38</v>
      </c>
      <c r="M5">
        <f>K5+L5</f>
        <v>0.64703444162814971</v>
      </c>
    </row>
    <row r="6" spans="1:16" x14ac:dyDescent="0.25">
      <c r="A6" t="s">
        <v>27</v>
      </c>
      <c r="B6" s="2" t="s">
        <v>77</v>
      </c>
      <c r="C6" s="2"/>
      <c r="D6">
        <f>Dati_OPTN!C42/(Dati_OPTN!C19+Dati_OPTN!Q65)</f>
        <v>5.1919956733369389E-2</v>
      </c>
      <c r="E6">
        <f>D6+0.02</f>
        <v>7.1919956733369386E-2</v>
      </c>
      <c r="G6" t="s">
        <v>27</v>
      </c>
      <c r="H6" s="2" t="s">
        <v>78</v>
      </c>
      <c r="I6" s="2"/>
      <c r="J6" s="2"/>
      <c r="K6">
        <f>Dati_OPTN!Q65/(Dati_OPTN!C42+Dati_OPTN!C19)</f>
        <v>0.16327751196172249</v>
      </c>
      <c r="L6">
        <v>0.5</v>
      </c>
      <c r="M6">
        <f>K6+L6</f>
        <v>0.66327751196172247</v>
      </c>
    </row>
    <row r="7" spans="1:16" x14ac:dyDescent="0.25">
      <c r="C7" s="6"/>
    </row>
    <row r="9" spans="1:16" x14ac:dyDescent="0.25">
      <c r="A9" s="47" t="s">
        <v>79</v>
      </c>
      <c r="B9" s="47"/>
      <c r="C9" s="47"/>
      <c r="D9" s="47"/>
      <c r="E9" s="47"/>
      <c r="F9" s="47"/>
      <c r="G9" s="47"/>
      <c r="I9" s="47" t="s">
        <v>80</v>
      </c>
      <c r="J9" s="47"/>
      <c r="K9" s="47"/>
      <c r="L9" s="47"/>
      <c r="M9" s="47"/>
      <c r="N9" s="47"/>
      <c r="O9" s="47"/>
      <c r="P9" s="47"/>
    </row>
    <row r="10" spans="1:16" x14ac:dyDescent="0.25">
      <c r="A10" t="s">
        <v>24</v>
      </c>
      <c r="B10" t="s">
        <v>81</v>
      </c>
      <c r="C10" s="2" t="s">
        <v>82</v>
      </c>
      <c r="D10" s="2"/>
      <c r="E10" s="2"/>
      <c r="F10" s="2"/>
      <c r="G10">
        <f>Dati_OPTN!C8/365*(1-M3-E3)</f>
        <v>2.0393445084240649E-2</v>
      </c>
      <c r="I10" t="s">
        <v>24</v>
      </c>
      <c r="J10" s="48" t="s">
        <v>81</v>
      </c>
      <c r="K10" s="48"/>
      <c r="L10" s="2" t="s">
        <v>83</v>
      </c>
      <c r="M10" s="2"/>
      <c r="N10" s="2"/>
      <c r="O10" s="2"/>
      <c r="P10">
        <f>G10</f>
        <v>2.0393445084240649E-2</v>
      </c>
    </row>
    <row r="11" spans="1:16" x14ac:dyDescent="0.25">
      <c r="B11" t="s">
        <v>84</v>
      </c>
      <c r="C11" s="2" t="s">
        <v>85</v>
      </c>
      <c r="D11" s="2"/>
      <c r="E11" s="2"/>
      <c r="F11" s="2"/>
      <c r="G11">
        <f>Dati_OPTN!C9/365*(1-M3-E3)</f>
        <v>16.510103804515246</v>
      </c>
      <c r="J11" s="48" t="s">
        <v>84</v>
      </c>
      <c r="K11" s="48"/>
      <c r="L11" s="2" t="s">
        <v>86</v>
      </c>
      <c r="M11" s="2"/>
      <c r="N11" s="2"/>
      <c r="O11" s="2"/>
      <c r="P11">
        <f>G11+G19</f>
        <v>21.809179508772935</v>
      </c>
    </row>
    <row r="12" spans="1:16" x14ac:dyDescent="0.25">
      <c r="A12" t="s">
        <v>25</v>
      </c>
      <c r="B12" t="s">
        <v>81</v>
      </c>
      <c r="C12" s="2" t="s">
        <v>87</v>
      </c>
      <c r="D12" s="2"/>
      <c r="E12" s="2"/>
      <c r="F12" s="2"/>
      <c r="G12">
        <f>Dati_OPTN!C12/365*(1-M4-E4)</f>
        <v>1.031733029818074E-2</v>
      </c>
      <c r="I12" t="s">
        <v>25</v>
      </c>
      <c r="J12" s="48" t="s">
        <v>81</v>
      </c>
      <c r="K12" s="48"/>
      <c r="L12" s="2" t="s">
        <v>88</v>
      </c>
      <c r="M12" s="2"/>
      <c r="N12" s="2"/>
      <c r="O12" s="2"/>
      <c r="P12">
        <f>G12</f>
        <v>1.031733029818074E-2</v>
      </c>
    </row>
    <row r="13" spans="1:16" x14ac:dyDescent="0.25">
      <c r="B13" t="s">
        <v>84</v>
      </c>
      <c r="C13" s="2" t="s">
        <v>89</v>
      </c>
      <c r="D13" s="2"/>
      <c r="E13" s="2"/>
      <c r="F13" s="2"/>
      <c r="G13">
        <f>Dati_OPTN!C13/365*(1-M4-E4)</f>
        <v>10.229632990646204</v>
      </c>
      <c r="J13" s="48" t="s">
        <v>84</v>
      </c>
      <c r="K13" s="48"/>
      <c r="L13" s="2" t="s">
        <v>90</v>
      </c>
      <c r="M13" s="2"/>
      <c r="N13" s="2"/>
      <c r="O13" s="2"/>
      <c r="P13">
        <f>G13+G20</f>
        <v>13.870618852874188</v>
      </c>
    </row>
    <row r="14" spans="1:16" x14ac:dyDescent="0.25">
      <c r="A14" t="s">
        <v>26</v>
      </c>
      <c r="B14" t="s">
        <v>81</v>
      </c>
      <c r="C14" s="2" t="s">
        <v>91</v>
      </c>
      <c r="D14" s="2"/>
      <c r="E14" s="2"/>
      <c r="F14" s="2"/>
      <c r="G14">
        <f>Dati_OPTN!C16/365*(1-M5-E5)</f>
        <v>6.9286132601267406E-3</v>
      </c>
      <c r="I14" t="s">
        <v>26</v>
      </c>
      <c r="J14" s="48" t="s">
        <v>81</v>
      </c>
      <c r="K14" s="48"/>
      <c r="L14" s="2" t="s">
        <v>92</v>
      </c>
      <c r="M14" s="2"/>
      <c r="N14" s="2"/>
      <c r="O14" s="2"/>
      <c r="P14">
        <f>G14</f>
        <v>6.9286132601267406E-3</v>
      </c>
    </row>
    <row r="15" spans="1:16" x14ac:dyDescent="0.25">
      <c r="B15" t="s">
        <v>84</v>
      </c>
      <c r="C15" s="2" t="s">
        <v>93</v>
      </c>
      <c r="D15" s="2"/>
      <c r="E15" s="2"/>
      <c r="F15" s="2"/>
      <c r="G15">
        <f>Dati_OPTN!C17/365*(1-M5-E5)</f>
        <v>3.2488267576734287</v>
      </c>
      <c r="J15" s="48" t="s">
        <v>84</v>
      </c>
      <c r="K15" s="48"/>
      <c r="L15" s="2" t="s">
        <v>94</v>
      </c>
      <c r="M15" s="2"/>
      <c r="N15" s="2"/>
      <c r="O15" s="2"/>
      <c r="P15">
        <f>G15+G21</f>
        <v>4.2527828190657937</v>
      </c>
    </row>
    <row r="16" spans="1:16" x14ac:dyDescent="0.25">
      <c r="A16" t="s">
        <v>27</v>
      </c>
      <c r="B16" t="s">
        <v>95</v>
      </c>
      <c r="C16" s="2" t="s">
        <v>96</v>
      </c>
      <c r="D16" s="2"/>
      <c r="E16" s="2"/>
      <c r="F16" s="2"/>
      <c r="G16">
        <f>Dati_OPTN!C20/365*(1-M6-E6)</f>
        <v>1.4509727742734694E-3</v>
      </c>
      <c r="I16" t="s">
        <v>27</v>
      </c>
      <c r="J16" s="48" t="s">
        <v>95</v>
      </c>
      <c r="K16" s="48"/>
      <c r="L16" s="2" t="s">
        <v>97</v>
      </c>
      <c r="M16" s="2"/>
      <c r="N16" s="2"/>
      <c r="O16" s="2"/>
      <c r="P16">
        <f>G16</f>
        <v>1.4509727742734694E-3</v>
      </c>
    </row>
    <row r="17" spans="1:29" x14ac:dyDescent="0.25">
      <c r="B17" t="s">
        <v>84</v>
      </c>
      <c r="C17" s="2" t="s">
        <v>98</v>
      </c>
      <c r="D17" s="2"/>
      <c r="E17" s="2"/>
      <c r="F17" s="2"/>
      <c r="G17">
        <f>Dati_OPTN!C21/365*(1-M6-E6)</f>
        <v>0.84156420907861218</v>
      </c>
      <c r="J17" s="48" t="s">
        <v>84</v>
      </c>
      <c r="K17" s="48"/>
      <c r="L17" s="2" t="s">
        <v>99</v>
      </c>
      <c r="M17" s="2"/>
      <c r="N17" s="2"/>
      <c r="O17" s="2"/>
      <c r="P17">
        <f>G17+G22</f>
        <v>1.153523355547408</v>
      </c>
    </row>
    <row r="18" spans="1:29" x14ac:dyDescent="0.25">
      <c r="A18" s="47" t="s">
        <v>100</v>
      </c>
      <c r="B18" s="47"/>
      <c r="C18" s="47"/>
      <c r="D18" s="47"/>
      <c r="E18" s="47"/>
      <c r="F18" s="47"/>
      <c r="G18" s="47"/>
      <c r="I18" s="47" t="s">
        <v>101</v>
      </c>
      <c r="J18" s="47"/>
      <c r="K18" s="47"/>
      <c r="L18" s="47"/>
      <c r="M18" s="47"/>
      <c r="N18" s="47"/>
      <c r="O18" s="47"/>
      <c r="P18" s="47"/>
      <c r="Q18" s="47"/>
      <c r="S18" s="6"/>
      <c r="T18" s="6"/>
    </row>
    <row r="19" spans="1:29" x14ac:dyDescent="0.25">
      <c r="A19" t="s">
        <v>24</v>
      </c>
      <c r="B19" t="s">
        <v>102</v>
      </c>
      <c r="C19" s="2" t="s">
        <v>103</v>
      </c>
      <c r="D19" s="2"/>
      <c r="E19" s="2"/>
      <c r="F19" s="2"/>
      <c r="G19">
        <f>Dati_OPTN!C10/365*(1-M3-E3)</f>
        <v>5.2990757042576888</v>
      </c>
      <c r="I19" t="s">
        <v>24</v>
      </c>
      <c r="J19" s="2" t="s">
        <v>104</v>
      </c>
      <c r="K19" s="2"/>
      <c r="L19" s="2"/>
      <c r="M19" s="2"/>
      <c r="N19" s="2"/>
      <c r="O19" s="2"/>
      <c r="P19" s="2"/>
      <c r="Q19">
        <f>G10+G11+G19</f>
        <v>21.829572953857177</v>
      </c>
    </row>
    <row r="20" spans="1:29" x14ac:dyDescent="0.25">
      <c r="A20" t="s">
        <v>25</v>
      </c>
      <c r="B20" t="s">
        <v>102</v>
      </c>
      <c r="C20" s="2" t="s">
        <v>105</v>
      </c>
      <c r="D20" s="2"/>
      <c r="E20" s="2"/>
      <c r="F20" s="2"/>
      <c r="G20">
        <f>Dati_OPTN!C14/365*(1-M4-E4)</f>
        <v>3.6409858622279829</v>
      </c>
      <c r="I20" t="s">
        <v>25</v>
      </c>
      <c r="J20" s="2" t="s">
        <v>106</v>
      </c>
      <c r="K20" s="2"/>
      <c r="L20" s="2"/>
      <c r="M20" s="2"/>
      <c r="N20" s="2"/>
      <c r="O20" s="2"/>
      <c r="P20" s="2"/>
      <c r="Q20">
        <f>G12+G13+G20</f>
        <v>13.880936183172366</v>
      </c>
    </row>
    <row r="21" spans="1:29" x14ac:dyDescent="0.25">
      <c r="A21" t="s">
        <v>26</v>
      </c>
      <c r="B21" t="s">
        <v>102</v>
      </c>
      <c r="C21" s="2" t="s">
        <v>107</v>
      </c>
      <c r="D21" s="2"/>
      <c r="E21" s="2"/>
      <c r="F21" s="2"/>
      <c r="G21">
        <f>Dati_OPTN!C18/365*(1-M5-E5)</f>
        <v>1.0039560613923648</v>
      </c>
      <c r="I21" t="s">
        <v>26</v>
      </c>
      <c r="J21" s="2" t="s">
        <v>108</v>
      </c>
      <c r="K21" s="2"/>
      <c r="L21" s="2"/>
      <c r="M21" s="2"/>
      <c r="N21" s="2"/>
      <c r="O21" s="2"/>
      <c r="P21" s="2"/>
      <c r="Q21">
        <f>G14+G15+G21</f>
        <v>4.2597114323259202</v>
      </c>
    </row>
    <row r="22" spans="1:29" x14ac:dyDescent="0.25">
      <c r="A22" t="s">
        <v>27</v>
      </c>
      <c r="B22" t="s">
        <v>102</v>
      </c>
      <c r="C22" s="2" t="s">
        <v>109</v>
      </c>
      <c r="D22" s="2"/>
      <c r="E22" s="2"/>
      <c r="F22" s="2"/>
      <c r="G22">
        <f>Dati_OPTN!C22/365*(1-M6-E6)</f>
        <v>0.31195914646879591</v>
      </c>
      <c r="I22" t="s">
        <v>27</v>
      </c>
      <c r="J22" s="2" t="s">
        <v>110</v>
      </c>
      <c r="K22" s="2"/>
      <c r="L22" s="2"/>
      <c r="M22" s="2"/>
      <c r="N22" s="2"/>
      <c r="O22" s="2"/>
      <c r="P22" s="2"/>
      <c r="Q22">
        <f>G16+G17+G22</f>
        <v>1.1549743283216816</v>
      </c>
    </row>
    <row r="25" spans="1:29" x14ac:dyDescent="0.25">
      <c r="A25" s="49" t="s">
        <v>111</v>
      </c>
      <c r="B25" s="49"/>
      <c r="C25" s="49"/>
      <c r="D25" s="49"/>
      <c r="E25" s="49"/>
      <c r="F25" s="49"/>
      <c r="I25" s="49" t="s">
        <v>112</v>
      </c>
      <c r="J25" s="49"/>
      <c r="K25" s="49"/>
      <c r="L25" s="49"/>
      <c r="M25" s="49"/>
      <c r="N25" s="49"/>
      <c r="Q25" s="49" t="s">
        <v>113</v>
      </c>
      <c r="R25" s="49"/>
      <c r="S25" s="49"/>
      <c r="T25" s="49"/>
      <c r="U25" s="49"/>
      <c r="V25" s="49"/>
      <c r="Y25" s="49" t="s">
        <v>114</v>
      </c>
      <c r="Z25" s="49"/>
      <c r="AA25" s="49"/>
      <c r="AB25" s="49"/>
      <c r="AC25" s="49"/>
    </row>
    <row r="26" spans="1:29" x14ac:dyDescent="0.25">
      <c r="A26" s="6" t="s">
        <v>71</v>
      </c>
      <c r="B26" s="3" t="s">
        <v>72</v>
      </c>
      <c r="C26" s="3"/>
      <c r="D26" s="3"/>
      <c r="E26" s="6" t="s">
        <v>75</v>
      </c>
      <c r="F26" s="6" t="s">
        <v>115</v>
      </c>
      <c r="I26" s="6" t="s">
        <v>71</v>
      </c>
      <c r="J26" s="3" t="s">
        <v>72</v>
      </c>
      <c r="K26" s="3"/>
      <c r="L26" s="3"/>
      <c r="M26" s="3"/>
      <c r="N26" s="6" t="s">
        <v>116</v>
      </c>
      <c r="Q26" s="6" t="s">
        <v>71</v>
      </c>
      <c r="R26" s="3" t="s">
        <v>72</v>
      </c>
      <c r="S26" s="3"/>
      <c r="T26" s="3"/>
      <c r="U26" s="3"/>
      <c r="V26" s="6" t="s">
        <v>117</v>
      </c>
      <c r="Y26" s="6" t="s">
        <v>71</v>
      </c>
      <c r="Z26" s="3" t="s">
        <v>72</v>
      </c>
      <c r="AA26" s="3"/>
      <c r="AB26" s="6" t="s">
        <v>47</v>
      </c>
      <c r="AC26" s="6" t="s">
        <v>118</v>
      </c>
    </row>
    <row r="27" spans="1:29" x14ac:dyDescent="0.25">
      <c r="A27" t="s">
        <v>24</v>
      </c>
      <c r="B27" s="2" t="s">
        <v>119</v>
      </c>
      <c r="C27" s="2"/>
      <c r="D27" s="2"/>
      <c r="E27">
        <f>Arrivi!D31/Arrivi!D29</f>
        <v>0.45980196406014429</v>
      </c>
      <c r="F27">
        <f>1-E27</f>
        <v>0.54019803593985571</v>
      </c>
      <c r="I27" t="s">
        <v>24</v>
      </c>
      <c r="J27" s="2" t="s">
        <v>120</v>
      </c>
      <c r="K27" s="2"/>
      <c r="L27" s="2"/>
      <c r="M27" s="2"/>
      <c r="N27">
        <f>1/(2*E27*Arrivi!H31)</f>
        <v>9.2240298702594314E-2</v>
      </c>
      <c r="Q27" t="s">
        <v>24</v>
      </c>
      <c r="R27" s="2" t="s">
        <v>121</v>
      </c>
      <c r="S27" s="2"/>
      <c r="T27" s="2"/>
      <c r="U27" s="2"/>
      <c r="V27">
        <f>1/(2*F27*Arrivi!H30)</f>
        <v>6.3479719307352522E-2</v>
      </c>
      <c r="Y27" t="s">
        <v>24</v>
      </c>
      <c r="Z27" s="2" t="s">
        <v>122</v>
      </c>
      <c r="AA27" s="2"/>
      <c r="AB27">
        <f>E27*N27+F27*V27</f>
        <v>7.6703890200792421E-2</v>
      </c>
      <c r="AC27">
        <f>1/AB27</f>
        <v>13.037148407756627</v>
      </c>
    </row>
    <row r="28" spans="1:29" x14ac:dyDescent="0.25">
      <c r="A28" t="s">
        <v>25</v>
      </c>
      <c r="B28" s="2" t="s">
        <v>123</v>
      </c>
      <c r="C28" s="2"/>
      <c r="D28" s="2"/>
      <c r="E28">
        <f>Arrivi!D34/Arrivi!D32</f>
        <v>0.32570024570024569</v>
      </c>
      <c r="F28">
        <f>1-E28</f>
        <v>0.67429975429975431</v>
      </c>
      <c r="I28" t="s">
        <v>25</v>
      </c>
      <c r="J28" s="2" t="s">
        <v>124</v>
      </c>
      <c r="K28" s="2"/>
      <c r="L28" s="2"/>
      <c r="M28" s="2"/>
      <c r="N28">
        <f>1/(2*E28*Arrivi!H34)</f>
        <v>0.29662846521470904</v>
      </c>
      <c r="Q28" t="s">
        <v>25</v>
      </c>
      <c r="R28" s="2" t="s">
        <v>125</v>
      </c>
      <c r="S28" s="2"/>
      <c r="T28" s="2"/>
      <c r="U28" s="2"/>
      <c r="V28">
        <f>1/(2*F28*Arrivi!H33)</f>
        <v>6.5580601925874338E-2</v>
      </c>
      <c r="Y28" t="s">
        <v>25</v>
      </c>
      <c r="Z28" s="2" t="s">
        <v>122</v>
      </c>
      <c r="AA28" s="2"/>
      <c r="AB28">
        <f>E28*N28+F28*V28</f>
        <v>0.14083294776756458</v>
      </c>
      <c r="AC28">
        <f>1/AB28</f>
        <v>7.1006111556397551</v>
      </c>
    </row>
    <row r="29" spans="1:29" x14ac:dyDescent="0.25">
      <c r="A29" t="s">
        <v>26</v>
      </c>
      <c r="B29" s="2" t="s">
        <v>126</v>
      </c>
      <c r="C29" s="2"/>
      <c r="D29" s="2"/>
      <c r="E29">
        <f>Arrivi!D37/Arrivi!D35</f>
        <v>0.3090813093980993</v>
      </c>
      <c r="F29">
        <f>1-E29</f>
        <v>0.6909186906019007</v>
      </c>
      <c r="I29" t="s">
        <v>26</v>
      </c>
      <c r="J29" s="2" t="s">
        <v>127</v>
      </c>
      <c r="K29" s="2"/>
      <c r="L29" s="2"/>
      <c r="M29" s="2"/>
      <c r="N29">
        <f>1/(2*E29*Arrivi!H37)</f>
        <v>1.0506397061594894</v>
      </c>
      <c r="Q29" t="s">
        <v>26</v>
      </c>
      <c r="R29" s="2" t="s">
        <v>128</v>
      </c>
      <c r="S29" s="2"/>
      <c r="T29" s="2"/>
      <c r="U29" s="2"/>
      <c r="V29">
        <f>1/(2*F29*Arrivi!H36)</f>
        <v>0.20117369900147355</v>
      </c>
      <c r="Y29" t="s">
        <v>26</v>
      </c>
      <c r="Z29" s="2" t="s">
        <v>122</v>
      </c>
      <c r="AA29" s="2"/>
      <c r="AB29">
        <f>E29*N29+F29*V29</f>
        <v>0.46372776478304834</v>
      </c>
      <c r="AC29">
        <f>1/AB29</f>
        <v>2.156437625570776</v>
      </c>
    </row>
    <row r="30" spans="1:29" x14ac:dyDescent="0.25">
      <c r="A30" t="s">
        <v>27</v>
      </c>
      <c r="B30" s="2" t="s">
        <v>129</v>
      </c>
      <c r="C30" s="2"/>
      <c r="D30" s="2"/>
      <c r="E30">
        <f>Arrivi!D40/Arrivi!D38</f>
        <v>0.20058626465661641</v>
      </c>
      <c r="F30">
        <f>1-E30</f>
        <v>0.79941373534338356</v>
      </c>
      <c r="I30" t="s">
        <v>27</v>
      </c>
      <c r="J30" s="2" t="s">
        <v>130</v>
      </c>
      <c r="K30" s="2"/>
      <c r="L30" s="2"/>
      <c r="M30" s="2"/>
      <c r="N30">
        <f>1/(2*E30*Arrivi!H40)</f>
        <v>8.1235087980912617</v>
      </c>
      <c r="Q30" t="s">
        <v>27</v>
      </c>
      <c r="R30" s="2" t="s">
        <v>131</v>
      </c>
      <c r="S30" s="2"/>
      <c r="T30" s="2"/>
      <c r="U30" s="2"/>
      <c r="V30">
        <f>1/(2*F30*Arrivi!H39)</f>
        <v>0.58536487085465616</v>
      </c>
      <c r="Y30" t="s">
        <v>27</v>
      </c>
      <c r="Z30" s="2" t="s">
        <v>122</v>
      </c>
      <c r="AA30" s="2"/>
      <c r="AB30">
        <f>E30*N30+F30*V30</f>
        <v>2.0974130036630036</v>
      </c>
      <c r="AC30">
        <f>1/AB30</f>
        <v>0.47677782022594556</v>
      </c>
    </row>
    <row r="33" spans="1:9" x14ac:dyDescent="0.25">
      <c r="A33" s="50" t="s">
        <v>132</v>
      </c>
      <c r="B33" s="50"/>
      <c r="C33" s="50"/>
      <c r="D33" s="50"/>
      <c r="F33" s="51" t="s">
        <v>133</v>
      </c>
      <c r="G33" s="51"/>
      <c r="H33" s="51"/>
      <c r="I33" s="51"/>
    </row>
    <row r="34" spans="1:9" x14ac:dyDescent="0.25">
      <c r="A34" t="s">
        <v>24</v>
      </c>
      <c r="B34" s="52" t="s">
        <v>134</v>
      </c>
      <c r="C34" s="52"/>
      <c r="D34">
        <f>Q19*AB27</f>
        <v>1.6744131669828488</v>
      </c>
      <c r="F34" t="s">
        <v>24</v>
      </c>
      <c r="G34" s="2" t="s">
        <v>135</v>
      </c>
      <c r="H34" s="2"/>
      <c r="I34">
        <f>1/(2*E27*F27)-1</f>
        <v>1.0130111547150507</v>
      </c>
    </row>
    <row r="35" spans="1:9" x14ac:dyDescent="0.25">
      <c r="A35" t="s">
        <v>25</v>
      </c>
      <c r="B35" s="52" t="s">
        <v>136</v>
      </c>
      <c r="C35" s="52"/>
      <c r="D35">
        <f>Q20*AB28</f>
        <v>1.9548931604496111</v>
      </c>
      <c r="F35" t="s">
        <v>25</v>
      </c>
      <c r="G35" s="2" t="s">
        <v>135</v>
      </c>
      <c r="H35" s="2"/>
      <c r="I35">
        <f>1/(2*E28*F28)-1</f>
        <v>1.2766638765442981</v>
      </c>
    </row>
    <row r="36" spans="1:9" x14ac:dyDescent="0.25">
      <c r="A36" t="s">
        <v>26</v>
      </c>
      <c r="B36" s="52" t="s">
        <v>137</v>
      </c>
      <c r="C36" s="52"/>
      <c r="D36">
        <f>Q21*AB29</f>
        <v>1.9753464611332963</v>
      </c>
      <c r="F36" t="s">
        <v>26</v>
      </c>
      <c r="G36" s="2" t="s">
        <v>135</v>
      </c>
      <c r="H36" s="2"/>
      <c r="I36">
        <f>1/(2*E29*F29)-1</f>
        <v>1.3413714565768982</v>
      </c>
    </row>
    <row r="37" spans="1:9" x14ac:dyDescent="0.25">
      <c r="A37" t="s">
        <v>27</v>
      </c>
      <c r="B37" s="52" t="s">
        <v>138</v>
      </c>
      <c r="C37" s="52"/>
      <c r="D37">
        <f>Q22*AB30</f>
        <v>2.4224581751188383</v>
      </c>
      <c r="F37" t="s">
        <v>27</v>
      </c>
      <c r="G37" s="2" t="s">
        <v>135</v>
      </c>
      <c r="H37" s="2"/>
      <c r="I37">
        <f>1/(2*E30*F30)-1</f>
        <v>2.1181514658069514</v>
      </c>
    </row>
    <row r="40" spans="1:9" x14ac:dyDescent="0.25">
      <c r="A40" s="50" t="s">
        <v>139</v>
      </c>
      <c r="B40" s="50"/>
      <c r="C40" s="50"/>
      <c r="D40" s="50"/>
    </row>
    <row r="41" spans="1:9" x14ac:dyDescent="0.25">
      <c r="A41" s="6" t="s">
        <v>71</v>
      </c>
      <c r="B41" s="6" t="s">
        <v>140</v>
      </c>
      <c r="C41" s="6" t="s">
        <v>141</v>
      </c>
      <c r="D41" s="6" t="s">
        <v>142</v>
      </c>
    </row>
    <row r="42" spans="1:9" x14ac:dyDescent="0.25">
      <c r="A42" t="s">
        <v>24</v>
      </c>
      <c r="B42" t="s">
        <v>143</v>
      </c>
      <c r="C42">
        <f>P10/Q19</f>
        <v>9.3421182023797802E-4</v>
      </c>
      <c r="D42">
        <f>C42*D34</f>
        <v>1.5642565725574847E-3</v>
      </c>
    </row>
    <row r="43" spans="1:9" x14ac:dyDescent="0.25">
      <c r="B43" t="s">
        <v>144</v>
      </c>
      <c r="C43">
        <f>P11/Q19</f>
        <v>0.99906578817976199</v>
      </c>
      <c r="D43">
        <f>C43*D34</f>
        <v>1.6728489104102913</v>
      </c>
    </row>
    <row r="44" spans="1:9" x14ac:dyDescent="0.25">
      <c r="A44" t="s">
        <v>25</v>
      </c>
      <c r="B44" t="s">
        <v>143</v>
      </c>
      <c r="C44">
        <f>P12/Q20</f>
        <v>7.4327337594767362E-4</v>
      </c>
      <c r="D44">
        <f>C44*D35</f>
        <v>1.4530200389843997E-3</v>
      </c>
    </row>
    <row r="45" spans="1:9" x14ac:dyDescent="0.25">
      <c r="B45" t="s">
        <v>144</v>
      </c>
      <c r="C45">
        <f>P13/Q20</f>
        <v>0.99925672662405252</v>
      </c>
      <c r="D45">
        <f>C45*D35</f>
        <v>1.9534401404106272</v>
      </c>
    </row>
    <row r="46" spans="1:9" x14ac:dyDescent="0.25">
      <c r="A46" t="s">
        <v>26</v>
      </c>
      <c r="B46" t="s">
        <v>143</v>
      </c>
      <c r="C46">
        <f>P14/Q21</f>
        <v>1.6265452179570592E-3</v>
      </c>
      <c r="D46">
        <f>C46*D36</f>
        <v>3.2129903401647629E-3</v>
      </c>
    </row>
    <row r="47" spans="1:9" x14ac:dyDescent="0.25">
      <c r="B47" t="s">
        <v>144</v>
      </c>
      <c r="C47">
        <f>P15/Q21</f>
        <v>0.99837345478204298</v>
      </c>
      <c r="D47">
        <f>C47*D36</f>
        <v>1.9721334707931315</v>
      </c>
    </row>
    <row r="48" spans="1:9" x14ac:dyDescent="0.25">
      <c r="A48" t="s">
        <v>27</v>
      </c>
      <c r="B48" t="s">
        <v>143</v>
      </c>
      <c r="C48">
        <f>P16/Q22</f>
        <v>1.2562814070351759E-3</v>
      </c>
      <c r="D48">
        <f>C48*D37</f>
        <v>3.0432891647221589E-3</v>
      </c>
    </row>
    <row r="49" spans="1:20" x14ac:dyDescent="0.25">
      <c r="B49" t="s">
        <v>144</v>
      </c>
      <c r="C49">
        <f>P17/Q22</f>
        <v>0.99874371859296474</v>
      </c>
      <c r="D49">
        <f>C49*D37</f>
        <v>2.419414885954116</v>
      </c>
    </row>
    <row r="51" spans="1:20" x14ac:dyDescent="0.25">
      <c r="A51" s="53" t="s">
        <v>145</v>
      </c>
      <c r="B51" s="53"/>
      <c r="C51" s="53"/>
      <c r="D51" s="53"/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</row>
    <row r="52" spans="1:20" x14ac:dyDescent="0.25">
      <c r="A52" s="54" t="s">
        <v>146</v>
      </c>
      <c r="B52" s="54"/>
      <c r="C52" s="54"/>
      <c r="D52" s="54"/>
      <c r="E52" s="54"/>
      <c r="F52" s="54"/>
      <c r="I52" s="54" t="s">
        <v>147</v>
      </c>
      <c r="J52" s="54"/>
      <c r="K52" s="54"/>
      <c r="L52" s="54"/>
      <c r="M52" s="54"/>
      <c r="N52" s="54"/>
      <c r="O52" s="54"/>
    </row>
    <row r="53" spans="1:20" x14ac:dyDescent="0.25">
      <c r="A53" s="6" t="s">
        <v>71</v>
      </c>
      <c r="B53" s="6" t="s">
        <v>148</v>
      </c>
      <c r="C53" s="3" t="s">
        <v>72</v>
      </c>
      <c r="D53" s="3"/>
      <c r="E53" s="3"/>
      <c r="F53" s="6" t="s">
        <v>149</v>
      </c>
      <c r="I53" s="6" t="s">
        <v>71</v>
      </c>
      <c r="J53" s="3" t="s">
        <v>148</v>
      </c>
      <c r="K53" s="3"/>
      <c r="L53" s="3" t="s">
        <v>72</v>
      </c>
      <c r="M53" s="3"/>
      <c r="N53" s="3"/>
      <c r="O53" s="6" t="s">
        <v>150</v>
      </c>
    </row>
    <row r="54" spans="1:20" x14ac:dyDescent="0.25">
      <c r="A54" t="s">
        <v>24</v>
      </c>
      <c r="B54" t="s">
        <v>81</v>
      </c>
      <c r="C54" s="2" t="s">
        <v>151</v>
      </c>
      <c r="D54" s="2"/>
      <c r="E54" s="2"/>
      <c r="F54">
        <f>(D34*AB27*(1+I34))/(2*(1-D42))</f>
        <v>0.12947206859174951</v>
      </c>
      <c r="I54" t="s">
        <v>24</v>
      </c>
      <c r="J54" s="2" t="s">
        <v>81</v>
      </c>
      <c r="K54" s="2"/>
      <c r="L54" s="2" t="s">
        <v>152</v>
      </c>
      <c r="M54" s="2"/>
      <c r="N54" s="2"/>
      <c r="O54">
        <f>F54+AB27</f>
        <v>0.20617595879254191</v>
      </c>
    </row>
    <row r="55" spans="1:20" x14ac:dyDescent="0.25">
      <c r="B55" t="s">
        <v>84</v>
      </c>
      <c r="C55" s="2" t="s">
        <v>153</v>
      </c>
      <c r="D55" s="2"/>
      <c r="E55" s="2"/>
      <c r="F55">
        <f>(D34*AB27*(1+I34))/(2*(1-D42)*(1-D34))</f>
        <v>-0.19197737370842605</v>
      </c>
      <c r="J55" s="2" t="s">
        <v>84</v>
      </c>
      <c r="K55" s="2"/>
      <c r="L55" s="2" t="s">
        <v>154</v>
      </c>
      <c r="M55" s="2"/>
      <c r="N55" s="2"/>
      <c r="O55">
        <f>F55+AB27</f>
        <v>-0.11527348350763363</v>
      </c>
      <c r="S55" s="55" t="s">
        <v>155</v>
      </c>
      <c r="T55" s="55"/>
    </row>
    <row r="56" spans="1:20" x14ac:dyDescent="0.25">
      <c r="A56" t="s">
        <v>25</v>
      </c>
      <c r="B56" t="s">
        <v>81</v>
      </c>
      <c r="C56" s="2" t="s">
        <v>151</v>
      </c>
      <c r="D56" s="2"/>
      <c r="E56" s="2"/>
      <c r="F56">
        <f>(D35*AB28*(1+I35))/(2*(1-D44))</f>
        <v>0.31385403415807933</v>
      </c>
      <c r="I56" t="s">
        <v>25</v>
      </c>
      <c r="J56" s="2" t="s">
        <v>81</v>
      </c>
      <c r="K56" s="2"/>
      <c r="L56" s="2" t="s">
        <v>152</v>
      </c>
      <c r="M56" s="2"/>
      <c r="N56" s="2"/>
      <c r="O56">
        <f>F56+AB28</f>
        <v>0.45468698192564394</v>
      </c>
      <c r="S56" t="s">
        <v>24</v>
      </c>
      <c r="T56" t="b">
        <f>IF(Q19&lt;AC27,TRUE())</f>
        <v>0</v>
      </c>
    </row>
    <row r="57" spans="1:20" x14ac:dyDescent="0.25">
      <c r="B57" t="s">
        <v>84</v>
      </c>
      <c r="C57" s="2" t="s">
        <v>153</v>
      </c>
      <c r="D57" s="2"/>
      <c r="E57" s="2"/>
      <c r="F57">
        <f>(D35*AB28*(1+I35))/(2*(1-D44)*(1-D35))</f>
        <v>-0.32867973838068043</v>
      </c>
      <c r="J57" s="2" t="s">
        <v>84</v>
      </c>
      <c r="K57" s="2"/>
      <c r="L57" s="2" t="s">
        <v>154</v>
      </c>
      <c r="M57" s="2"/>
      <c r="N57" s="2"/>
      <c r="O57">
        <f>F57+AB28</f>
        <v>-0.18784679061311585</v>
      </c>
      <c r="S57" t="s">
        <v>25</v>
      </c>
      <c r="T57" t="b">
        <f>IF(Q20&lt;AC28,TRUE())</f>
        <v>0</v>
      </c>
    </row>
    <row r="58" spans="1:20" x14ac:dyDescent="0.25">
      <c r="A58" t="s">
        <v>26</v>
      </c>
      <c r="B58" t="s">
        <v>81</v>
      </c>
      <c r="C58" s="2" t="s">
        <v>151</v>
      </c>
      <c r="D58" s="2"/>
      <c r="E58" s="2"/>
      <c r="F58">
        <f>(D36*AB29*(1+I36))/(2*(1-D46))</f>
        <v>1.0758316886459451</v>
      </c>
      <c r="I58" t="s">
        <v>26</v>
      </c>
      <c r="J58" s="2" t="s">
        <v>81</v>
      </c>
      <c r="K58" s="2"/>
      <c r="L58" s="2" t="s">
        <v>152</v>
      </c>
      <c r="M58" s="2"/>
      <c r="N58" s="2"/>
      <c r="O58">
        <f>F58+AB29</f>
        <v>1.5395594534289936</v>
      </c>
      <c r="S58" t="s">
        <v>26</v>
      </c>
      <c r="T58" t="b">
        <f>IF(Q21&lt;AC29,TRUE())</f>
        <v>0</v>
      </c>
    </row>
    <row r="59" spans="1:20" x14ac:dyDescent="0.25">
      <c r="B59" t="s">
        <v>84</v>
      </c>
      <c r="C59" s="2" t="s">
        <v>153</v>
      </c>
      <c r="D59" s="2"/>
      <c r="E59" s="2"/>
      <c r="F59">
        <f>(D36*AB29*(1+I36))/(2*(1-D46)*(1-D36))</f>
        <v>-1.1030251623570675</v>
      </c>
      <c r="J59" s="2" t="s">
        <v>84</v>
      </c>
      <c r="K59" s="2"/>
      <c r="L59" s="2" t="s">
        <v>154</v>
      </c>
      <c r="M59" s="2"/>
      <c r="N59" s="2"/>
      <c r="O59">
        <f>F59+AB29</f>
        <v>-0.63929739757401916</v>
      </c>
      <c r="S59" t="s">
        <v>27</v>
      </c>
      <c r="T59" t="b">
        <f>IF(Q22&lt;AC30,TRUE())</f>
        <v>0</v>
      </c>
    </row>
    <row r="60" spans="1:20" x14ac:dyDescent="0.25">
      <c r="A60" t="s">
        <v>27</v>
      </c>
      <c r="B60" t="s">
        <v>95</v>
      </c>
      <c r="C60" s="2" t="s">
        <v>151</v>
      </c>
      <c r="D60" s="2"/>
      <c r="E60" s="2"/>
      <c r="F60">
        <f>(D37*AB30*(1+I37))/(2*(1-D48))</f>
        <v>7.9456815348209791</v>
      </c>
      <c r="I60" t="s">
        <v>27</v>
      </c>
      <c r="J60" s="2" t="s">
        <v>95</v>
      </c>
      <c r="K60" s="2"/>
      <c r="L60" s="2" t="s">
        <v>152</v>
      </c>
      <c r="M60" s="2"/>
      <c r="N60" s="2"/>
      <c r="O60">
        <f>F60+AB30</f>
        <v>10.043094538483983</v>
      </c>
    </row>
    <row r="61" spans="1:20" x14ac:dyDescent="0.25">
      <c r="B61" t="s">
        <v>84</v>
      </c>
      <c r="C61" s="2" t="s">
        <v>153</v>
      </c>
      <c r="D61" s="2"/>
      <c r="E61" s="2"/>
      <c r="F61">
        <f>(D37*AB30*(1+I37))/(2*(1-D48)*(1-D37))</f>
        <v>-5.5858806071097042</v>
      </c>
      <c r="J61" s="2" t="s">
        <v>84</v>
      </c>
      <c r="K61" s="2"/>
      <c r="L61" s="2" t="s">
        <v>154</v>
      </c>
      <c r="M61" s="2"/>
      <c r="N61" s="2"/>
      <c r="O61">
        <f>F61+AB30</f>
        <v>-3.4884676034467006</v>
      </c>
    </row>
    <row r="62" spans="1:20" x14ac:dyDescent="0.25">
      <c r="A62" s="54" t="s">
        <v>156</v>
      </c>
      <c r="B62" s="54"/>
      <c r="C62" s="54"/>
      <c r="D62" s="54"/>
      <c r="E62" s="54"/>
      <c r="F62" s="54"/>
      <c r="I62" s="54" t="s">
        <v>157</v>
      </c>
      <c r="J62" s="54"/>
      <c r="K62" s="54"/>
      <c r="L62" s="54"/>
      <c r="M62" s="54"/>
      <c r="N62" s="54"/>
      <c r="O62" s="54"/>
    </row>
    <row r="63" spans="1:20" x14ac:dyDescent="0.25">
      <c r="A63" s="6" t="s">
        <v>71</v>
      </c>
      <c r="B63" s="3" t="s">
        <v>72</v>
      </c>
      <c r="C63" s="3"/>
      <c r="D63" s="3"/>
      <c r="E63" s="3"/>
      <c r="F63" s="6" t="s">
        <v>149</v>
      </c>
      <c r="I63" s="6" t="s">
        <v>71</v>
      </c>
      <c r="J63" s="3" t="s">
        <v>72</v>
      </c>
      <c r="K63" s="3"/>
      <c r="L63" s="3"/>
      <c r="M63" s="3"/>
      <c r="N63" s="3"/>
      <c r="O63" s="6" t="s">
        <v>150</v>
      </c>
    </row>
    <row r="64" spans="1:20" x14ac:dyDescent="0.25">
      <c r="A64" t="s">
        <v>24</v>
      </c>
      <c r="B64" s="2" t="s">
        <v>158</v>
      </c>
      <c r="C64" s="2"/>
      <c r="D64" s="2"/>
      <c r="E64" s="2"/>
      <c r="F64">
        <f>C42*F54+C43*F55</f>
        <v>-0.19167707183982033</v>
      </c>
      <c r="I64" t="s">
        <v>24</v>
      </c>
      <c r="J64" s="2" t="s">
        <v>159</v>
      </c>
      <c r="K64" s="2"/>
      <c r="L64" s="2"/>
      <c r="M64" s="2"/>
      <c r="N64" s="2"/>
      <c r="O64">
        <f>C42*O54+C43*O55</f>
        <v>-0.11497318163902789</v>
      </c>
    </row>
    <row r="65" spans="1:15" x14ac:dyDescent="0.25">
      <c r="A65" t="s">
        <v>25</v>
      </c>
      <c r="B65" s="2" t="s">
        <v>158</v>
      </c>
      <c r="C65" s="2"/>
      <c r="D65" s="2"/>
      <c r="E65" s="2"/>
      <c r="F65">
        <f>C44*F56+C45*F57</f>
        <v>-0.32820216013440517</v>
      </c>
      <c r="I65" t="s">
        <v>25</v>
      </c>
      <c r="J65" s="2" t="s">
        <v>159</v>
      </c>
      <c r="K65" s="2"/>
      <c r="L65" s="2"/>
      <c r="M65" s="2"/>
      <c r="N65" s="2"/>
      <c r="O65">
        <f>C44*O56+C45*O57</f>
        <v>-0.18736921236684059</v>
      </c>
    </row>
    <row r="66" spans="1:15" x14ac:dyDescent="0.25">
      <c r="A66" t="s">
        <v>26</v>
      </c>
      <c r="B66" s="2" t="s">
        <v>158</v>
      </c>
      <c r="C66" s="2"/>
      <c r="D66" s="2"/>
      <c r="E66" s="2"/>
      <c r="F66">
        <f>C46*F58+C47*F59</f>
        <v>-1.0994811531654556</v>
      </c>
      <c r="I66" t="s">
        <v>26</v>
      </c>
      <c r="J66" s="2" t="s">
        <v>159</v>
      </c>
      <c r="K66" s="2"/>
      <c r="L66" s="2"/>
      <c r="M66" s="2"/>
      <c r="N66" s="2"/>
      <c r="O66">
        <f>C46*O58+C47*O59</f>
        <v>-0.63575338838240725</v>
      </c>
    </row>
    <row r="67" spans="1:15" x14ac:dyDescent="0.25">
      <c r="A67" t="s">
        <v>27</v>
      </c>
      <c r="B67" s="2" t="s">
        <v>158</v>
      </c>
      <c r="C67" s="2"/>
      <c r="D67" s="2"/>
      <c r="E67" s="2"/>
      <c r="F67">
        <f>C48*F60+C49*F61</f>
        <v>-5.5688811571826555</v>
      </c>
      <c r="I67" t="s">
        <v>27</v>
      </c>
      <c r="J67" s="2" t="s">
        <v>159</v>
      </c>
      <c r="K67" s="2"/>
      <c r="L67" s="2"/>
      <c r="M67" s="2"/>
      <c r="N67" s="2"/>
      <c r="O67">
        <f>C48*O60+C49*O61</f>
        <v>-3.4714681535196519</v>
      </c>
    </row>
    <row r="70" spans="1:15" x14ac:dyDescent="0.25">
      <c r="A70" s="54" t="s">
        <v>160</v>
      </c>
      <c r="B70" s="54"/>
      <c r="C70" s="54"/>
      <c r="D70" s="54"/>
      <c r="E70" s="54"/>
      <c r="F70" s="54"/>
      <c r="I70" s="54" t="s">
        <v>161</v>
      </c>
      <c r="J70" s="54"/>
      <c r="K70" s="54"/>
      <c r="L70" s="54"/>
      <c r="M70" s="54"/>
      <c r="N70" s="54"/>
      <c r="O70" s="54"/>
    </row>
    <row r="71" spans="1:15" x14ac:dyDescent="0.25">
      <c r="A71" s="6" t="s">
        <v>71</v>
      </c>
      <c r="B71" s="6" t="s">
        <v>148</v>
      </c>
      <c r="C71" s="3" t="s">
        <v>72</v>
      </c>
      <c r="D71" s="3"/>
      <c r="E71" s="3"/>
      <c r="F71" s="6" t="s">
        <v>162</v>
      </c>
      <c r="I71" s="6" t="s">
        <v>71</v>
      </c>
      <c r="J71" s="3" t="s">
        <v>148</v>
      </c>
      <c r="K71" s="3"/>
      <c r="L71" s="3" t="s">
        <v>72</v>
      </c>
      <c r="M71" s="3"/>
      <c r="N71" s="3"/>
      <c r="O71" s="6" t="s">
        <v>163</v>
      </c>
    </row>
    <row r="72" spans="1:15" x14ac:dyDescent="0.25">
      <c r="A72" t="s">
        <v>24</v>
      </c>
      <c r="B72" t="s">
        <v>81</v>
      </c>
      <c r="C72" s="2" t="s">
        <v>164</v>
      </c>
      <c r="D72" s="2"/>
      <c r="E72" s="2"/>
      <c r="F72">
        <f t="shared" ref="F72:F79" si="0">P10*F54</f>
        <v>2.6403815207688822E-3</v>
      </c>
      <c r="I72" t="s">
        <v>24</v>
      </c>
      <c r="J72" s="2" t="s">
        <v>81</v>
      </c>
      <c r="K72" s="2"/>
      <c r="L72" s="2" t="s">
        <v>165</v>
      </c>
      <c r="M72" s="2"/>
      <c r="N72" s="2"/>
      <c r="O72">
        <f t="shared" ref="O72:O79" si="1">P10*O54</f>
        <v>4.2046380933263667E-3</v>
      </c>
    </row>
    <row r="73" spans="1:15" x14ac:dyDescent="0.25">
      <c r="B73" t="s">
        <v>84</v>
      </c>
      <c r="C73" s="2" t="s">
        <v>166</v>
      </c>
      <c r="D73" s="2"/>
      <c r="E73" s="2"/>
      <c r="F73">
        <f t="shared" si="0"/>
        <v>-4.1868690048298491</v>
      </c>
      <c r="J73" s="2" t="s">
        <v>84</v>
      </c>
      <c r="K73" s="2"/>
      <c r="L73" s="2" t="s">
        <v>167</v>
      </c>
      <c r="M73" s="2"/>
      <c r="N73" s="2"/>
      <c r="O73">
        <f t="shared" si="1"/>
        <v>-2.5140200944195583</v>
      </c>
    </row>
    <row r="74" spans="1:15" x14ac:dyDescent="0.25">
      <c r="A74" t="s">
        <v>25</v>
      </c>
      <c r="B74" t="s">
        <v>81</v>
      </c>
      <c r="C74" s="2" t="s">
        <v>168</v>
      </c>
      <c r="D74" s="2"/>
      <c r="E74" s="2"/>
      <c r="F74">
        <f t="shared" si="0"/>
        <v>3.238135735825405E-3</v>
      </c>
      <c r="I74" t="s">
        <v>25</v>
      </c>
      <c r="J74" s="2" t="s">
        <v>81</v>
      </c>
      <c r="K74" s="2"/>
      <c r="L74" s="2" t="s">
        <v>169</v>
      </c>
      <c r="M74" s="2"/>
      <c r="N74" s="2"/>
      <c r="O74">
        <f t="shared" si="1"/>
        <v>4.6911557748098047E-3</v>
      </c>
    </row>
    <row r="75" spans="1:15" x14ac:dyDescent="0.25">
      <c r="B75" t="s">
        <v>84</v>
      </c>
      <c r="C75" s="2" t="s">
        <v>170</v>
      </c>
      <c r="D75" s="2"/>
      <c r="E75" s="2"/>
      <c r="F75">
        <f t="shared" si="0"/>
        <v>-4.5589913757408214</v>
      </c>
      <c r="J75" s="2" t="s">
        <v>84</v>
      </c>
      <c r="K75" s="2"/>
      <c r="L75" s="2" t="s">
        <v>171</v>
      </c>
      <c r="M75" s="2"/>
      <c r="N75" s="2"/>
      <c r="O75">
        <f t="shared" si="1"/>
        <v>-2.6055512353301946</v>
      </c>
    </row>
    <row r="76" spans="1:15" x14ac:dyDescent="0.25">
      <c r="A76" t="s">
        <v>26</v>
      </c>
      <c r="B76" t="s">
        <v>81</v>
      </c>
      <c r="C76" s="2" t="s">
        <v>172</v>
      </c>
      <c r="D76" s="2"/>
      <c r="E76" s="2"/>
      <c r="F76">
        <f t="shared" si="0"/>
        <v>7.4540217036168383E-3</v>
      </c>
      <c r="I76" t="s">
        <v>26</v>
      </c>
      <c r="J76" s="2" t="s">
        <v>81</v>
      </c>
      <c r="K76" s="2"/>
      <c r="L76" s="2" t="s">
        <v>173</v>
      </c>
      <c r="M76" s="2"/>
      <c r="N76" s="2"/>
      <c r="O76">
        <f t="shared" si="1"/>
        <v>1.0667012043781602E-2</v>
      </c>
    </row>
    <row r="77" spans="1:15" x14ac:dyDescent="0.25">
      <c r="B77" t="s">
        <v>84</v>
      </c>
      <c r="C77" s="2" t="s">
        <v>174</v>
      </c>
      <c r="D77" s="2"/>
      <c r="E77" s="2"/>
      <c r="F77">
        <f t="shared" si="0"/>
        <v>-4.6909264594693942</v>
      </c>
      <c r="J77" s="2" t="s">
        <v>84</v>
      </c>
      <c r="K77" s="2"/>
      <c r="L77" s="2" t="s">
        <v>175</v>
      </c>
      <c r="M77" s="2"/>
      <c r="N77" s="2"/>
      <c r="O77">
        <f t="shared" si="1"/>
        <v>-2.7187929886762627</v>
      </c>
    </row>
    <row r="78" spans="1:15" x14ac:dyDescent="0.25">
      <c r="A78" t="s">
        <v>27</v>
      </c>
      <c r="B78" t="s">
        <v>95</v>
      </c>
      <c r="C78" s="2" t="s">
        <v>176</v>
      </c>
      <c r="D78" s="2"/>
      <c r="E78" s="2"/>
      <c r="F78">
        <f t="shared" si="0"/>
        <v>1.1528967580072673E-2</v>
      </c>
      <c r="I78" t="s">
        <v>27</v>
      </c>
      <c r="J78" s="2" t="s">
        <v>95</v>
      </c>
      <c r="K78" s="2"/>
      <c r="L78" s="2" t="s">
        <v>177</v>
      </c>
      <c r="M78" s="2"/>
      <c r="N78" s="2"/>
      <c r="O78">
        <f t="shared" si="1"/>
        <v>1.4572256744794832E-2</v>
      </c>
    </row>
    <row r="79" spans="1:15" x14ac:dyDescent="0.25">
      <c r="B79" t="s">
        <v>84</v>
      </c>
      <c r="C79" s="2" t="s">
        <v>178</v>
      </c>
      <c r="D79" s="2"/>
      <c r="E79" s="2"/>
      <c r="F79">
        <f t="shared" si="0"/>
        <v>-6.4434437416003787</v>
      </c>
      <c r="J79" s="2" t="s">
        <v>84</v>
      </c>
      <c r="K79" s="2"/>
      <c r="L79" s="2" t="s">
        <v>179</v>
      </c>
      <c r="M79" s="2"/>
      <c r="N79" s="2"/>
      <c r="O79">
        <f t="shared" si="1"/>
        <v>-4.0240288556462627</v>
      </c>
    </row>
    <row r="80" spans="1:15" x14ac:dyDescent="0.25">
      <c r="A80" s="54" t="s">
        <v>180</v>
      </c>
      <c r="B80" s="54"/>
      <c r="C80" s="54"/>
      <c r="D80" s="54"/>
      <c r="E80" s="54"/>
      <c r="F80" s="54"/>
      <c r="I80" s="54" t="s">
        <v>181</v>
      </c>
      <c r="J80" s="54"/>
      <c r="K80" s="54"/>
      <c r="L80" s="54"/>
      <c r="M80" s="54"/>
      <c r="N80" s="54"/>
      <c r="O80" s="54"/>
    </row>
    <row r="81" spans="1:22" x14ac:dyDescent="0.25">
      <c r="A81" s="6" t="s">
        <v>71</v>
      </c>
      <c r="B81" s="3" t="s">
        <v>72</v>
      </c>
      <c r="C81" s="3"/>
      <c r="D81" s="3"/>
      <c r="E81" s="3"/>
      <c r="F81" s="6" t="s">
        <v>162</v>
      </c>
      <c r="I81" s="6" t="s">
        <v>71</v>
      </c>
      <c r="J81" s="3" t="s">
        <v>72</v>
      </c>
      <c r="K81" s="3"/>
      <c r="L81" s="3"/>
      <c r="M81" s="3"/>
      <c r="N81" s="3"/>
      <c r="O81" s="6" t="s">
        <v>163</v>
      </c>
    </row>
    <row r="82" spans="1:22" x14ac:dyDescent="0.25">
      <c r="A82" t="s">
        <v>24</v>
      </c>
      <c r="B82" s="2" t="s">
        <v>182</v>
      </c>
      <c r="C82" s="2"/>
      <c r="D82" s="2"/>
      <c r="E82" s="2"/>
      <c r="F82">
        <f>Q19*F64</f>
        <v>-4.1842286233090809</v>
      </c>
      <c r="I82" t="s">
        <v>24</v>
      </c>
      <c r="J82" s="2" t="s">
        <v>183</v>
      </c>
      <c r="K82" s="2"/>
      <c r="L82" s="2"/>
      <c r="M82" s="2"/>
      <c r="N82" s="2"/>
      <c r="O82">
        <f>Q19*O64</f>
        <v>-2.509815456326232</v>
      </c>
    </row>
    <row r="83" spans="1:22" x14ac:dyDescent="0.25">
      <c r="A83" t="s">
        <v>25</v>
      </c>
      <c r="B83" s="2" t="s">
        <v>184</v>
      </c>
      <c r="C83" s="2"/>
      <c r="D83" s="2"/>
      <c r="E83" s="2"/>
      <c r="F83">
        <f>Q20*F65</f>
        <v>-4.5557532400049956</v>
      </c>
      <c r="I83" t="s">
        <v>25</v>
      </c>
      <c r="J83" s="2" t="s">
        <v>185</v>
      </c>
      <c r="K83" s="2"/>
      <c r="L83" s="2"/>
      <c r="M83" s="2"/>
      <c r="N83" s="2"/>
      <c r="O83">
        <f>Q20*O65</f>
        <v>-2.6008600795553849</v>
      </c>
    </row>
    <row r="84" spans="1:22" x14ac:dyDescent="0.25">
      <c r="A84" t="s">
        <v>26</v>
      </c>
      <c r="B84" s="2" t="s">
        <v>186</v>
      </c>
      <c r="C84" s="2"/>
      <c r="D84" s="2"/>
      <c r="E84" s="2"/>
      <c r="F84">
        <f>Q21*F66</f>
        <v>-4.6834724377657775</v>
      </c>
      <c r="I84" t="s">
        <v>26</v>
      </c>
      <c r="J84" s="2" t="s">
        <v>187</v>
      </c>
      <c r="K84" s="2"/>
      <c r="L84" s="2"/>
      <c r="M84" s="2"/>
      <c r="N84" s="2"/>
      <c r="O84">
        <f>Q21*O66</f>
        <v>-2.708125976632481</v>
      </c>
    </row>
    <row r="85" spans="1:22" x14ac:dyDescent="0.25">
      <c r="A85" t="s">
        <v>27</v>
      </c>
      <c r="B85" s="2" t="s">
        <v>188</v>
      </c>
      <c r="C85" s="2"/>
      <c r="D85" s="2"/>
      <c r="E85" s="2"/>
      <c r="F85">
        <f>Q22*F67</f>
        <v>-6.4319147740203064</v>
      </c>
      <c r="I85" t="s">
        <v>27</v>
      </c>
      <c r="J85" s="2" t="s">
        <v>189</v>
      </c>
      <c r="K85" s="2"/>
      <c r="L85" s="2"/>
      <c r="M85" s="2"/>
      <c r="N85" s="2"/>
      <c r="O85">
        <f>Q22*O67</f>
        <v>-4.0094565989014681</v>
      </c>
    </row>
    <row r="88" spans="1:22" x14ac:dyDescent="0.25">
      <c r="A88" s="53" t="s">
        <v>190</v>
      </c>
      <c r="B88" s="53"/>
      <c r="C88" s="53"/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</row>
    <row r="89" spans="1:22" x14ac:dyDescent="0.25">
      <c r="A89" s="54" t="s">
        <v>146</v>
      </c>
      <c r="B89" s="54"/>
      <c r="C89" s="54"/>
      <c r="D89" s="54"/>
      <c r="E89" s="54"/>
      <c r="F89" s="54"/>
      <c r="I89" s="54" t="s">
        <v>147</v>
      </c>
      <c r="J89" s="54"/>
      <c r="K89" s="54"/>
      <c r="L89" s="54"/>
      <c r="M89" s="54"/>
      <c r="N89" s="54"/>
      <c r="O89" s="54"/>
      <c r="R89" s="49" t="s">
        <v>191</v>
      </c>
      <c r="S89" s="49"/>
      <c r="T89" s="49"/>
      <c r="U89" s="49"/>
      <c r="V89" s="49"/>
    </row>
    <row r="90" spans="1:22" x14ac:dyDescent="0.25">
      <c r="A90" s="6" t="s">
        <v>71</v>
      </c>
      <c r="B90" s="6" t="s">
        <v>148</v>
      </c>
      <c r="C90" s="3" t="s">
        <v>72</v>
      </c>
      <c r="D90" s="3"/>
      <c r="E90" s="3"/>
      <c r="F90" s="6" t="s">
        <v>149</v>
      </c>
      <c r="I90" s="6" t="s">
        <v>71</v>
      </c>
      <c r="J90" s="3" t="s">
        <v>148</v>
      </c>
      <c r="K90" s="3"/>
      <c r="L90" s="3" t="s">
        <v>72</v>
      </c>
      <c r="M90" s="3"/>
      <c r="N90" s="3"/>
      <c r="O90" s="6" t="s">
        <v>150</v>
      </c>
      <c r="R90" s="6" t="s">
        <v>71</v>
      </c>
      <c r="S90" s="3" t="s">
        <v>72</v>
      </c>
      <c r="T90" s="3"/>
      <c r="U90" s="6" t="s">
        <v>47</v>
      </c>
      <c r="V90" s="6" t="s">
        <v>118</v>
      </c>
    </row>
    <row r="91" spans="1:22" x14ac:dyDescent="0.25">
      <c r="A91" t="s">
        <v>24</v>
      </c>
      <c r="B91" t="s">
        <v>81</v>
      </c>
      <c r="C91" s="2" t="s">
        <v>192</v>
      </c>
      <c r="D91" s="2"/>
      <c r="E91" s="2"/>
      <c r="F91">
        <f>(U98*U91)/(1-U105)</f>
        <v>3.1417056210797503E-2</v>
      </c>
      <c r="I91" t="s">
        <v>24</v>
      </c>
      <c r="J91" s="2" t="s">
        <v>81</v>
      </c>
      <c r="K91" s="2"/>
      <c r="L91" s="2" t="s">
        <v>152</v>
      </c>
      <c r="M91" s="2"/>
      <c r="N91" s="2"/>
      <c r="O91">
        <f>F91+U91</f>
        <v>6.933913413287543E-2</v>
      </c>
      <c r="R91" t="s">
        <v>24</v>
      </c>
      <c r="S91" s="2" t="s">
        <v>193</v>
      </c>
      <c r="T91" s="2"/>
      <c r="U91">
        <f>1/(Arrivi!H31+Arrivi!H30)</f>
        <v>3.7922077922077919E-2</v>
      </c>
      <c r="V91">
        <f>1/U91</f>
        <v>26.36986301369863</v>
      </c>
    </row>
    <row r="92" spans="1:22" x14ac:dyDescent="0.25">
      <c r="B92" t="s">
        <v>84</v>
      </c>
      <c r="C92" s="2" t="s">
        <v>194</v>
      </c>
      <c r="D92" s="2"/>
      <c r="E92" s="2"/>
      <c r="F92">
        <f>(U98*U91)/((1-U105)*(1-U98))</f>
        <v>0.182469282282227</v>
      </c>
      <c r="J92" s="2" t="s">
        <v>84</v>
      </c>
      <c r="K92" s="2"/>
      <c r="L92" s="2" t="s">
        <v>154</v>
      </c>
      <c r="M92" s="2"/>
      <c r="N92" s="2"/>
      <c r="O92">
        <f>F92+U91</f>
        <v>0.22039136020430491</v>
      </c>
      <c r="R92" t="s">
        <v>25</v>
      </c>
      <c r="S92" s="2" t="s">
        <v>195</v>
      </c>
      <c r="T92" s="2"/>
      <c r="U92">
        <f>1/(Arrivi!H33+Arrivi!H34)</f>
        <v>6.0671542553191488E-2</v>
      </c>
      <c r="V92">
        <f>1/U92</f>
        <v>16.482191780821918</v>
      </c>
    </row>
    <row r="93" spans="1:22" x14ac:dyDescent="0.25">
      <c r="A93" t="s">
        <v>25</v>
      </c>
      <c r="B93" t="s">
        <v>81</v>
      </c>
      <c r="C93" s="2" t="s">
        <v>192</v>
      </c>
      <c r="D93" s="2"/>
      <c r="E93" s="2"/>
      <c r="F93">
        <f>(U99*U92)/(1-U107)</f>
        <v>5.1128231510330614E-2</v>
      </c>
      <c r="I93" t="s">
        <v>25</v>
      </c>
      <c r="J93" s="2" t="s">
        <v>81</v>
      </c>
      <c r="K93" s="2"/>
      <c r="L93" s="2" t="s">
        <v>152</v>
      </c>
      <c r="M93" s="2"/>
      <c r="N93" s="2"/>
      <c r="O93">
        <f>F93+U92</f>
        <v>0.11179977406352209</v>
      </c>
      <c r="R93" t="s">
        <v>26</v>
      </c>
      <c r="S93" s="2" t="s">
        <v>196</v>
      </c>
      <c r="T93" s="2"/>
      <c r="U93">
        <f>1/(Arrivi!H36+Arrivi!H37)</f>
        <v>0.19466666666666668</v>
      </c>
      <c r="V93">
        <f>1/U93</f>
        <v>5.1369863013698627</v>
      </c>
    </row>
    <row r="94" spans="1:22" x14ac:dyDescent="0.25">
      <c r="B94" t="s">
        <v>84</v>
      </c>
      <c r="C94" s="2" t="s">
        <v>194</v>
      </c>
      <c r="D94" s="2"/>
      <c r="E94" s="2"/>
      <c r="F94">
        <f>(U99*U92)/((1-U107)*(1-U99))</f>
        <v>0.32396098173858234</v>
      </c>
      <c r="J94" s="2" t="s">
        <v>84</v>
      </c>
      <c r="K94" s="2"/>
      <c r="L94" s="2" t="s">
        <v>154</v>
      </c>
      <c r="M94" s="2"/>
      <c r="N94" s="2"/>
      <c r="O94">
        <f>F94+U92</f>
        <v>0.38463252429177386</v>
      </c>
      <c r="R94" t="s">
        <v>27</v>
      </c>
      <c r="S94" s="2" t="s">
        <v>197</v>
      </c>
      <c r="T94" s="2"/>
      <c r="U94">
        <f>1/(Arrivi!H39+Arrivi!H40)</f>
        <v>0.72709163346613537</v>
      </c>
      <c r="V94">
        <f>1/U94</f>
        <v>1.3753424657534248</v>
      </c>
    </row>
    <row r="95" spans="1:22" x14ac:dyDescent="0.25">
      <c r="A95" t="s">
        <v>26</v>
      </c>
      <c r="B95" t="s">
        <v>81</v>
      </c>
      <c r="C95" s="2" t="s">
        <v>192</v>
      </c>
      <c r="D95" s="2"/>
      <c r="E95" s="2"/>
      <c r="F95">
        <f>(U100*U93)/(1-U109)</f>
        <v>0.16164025356181169</v>
      </c>
      <c r="I95" t="s">
        <v>26</v>
      </c>
      <c r="J95" s="2" t="s">
        <v>81</v>
      </c>
      <c r="K95" s="2"/>
      <c r="L95" s="2" t="s">
        <v>152</v>
      </c>
      <c r="M95" s="2"/>
      <c r="N95" s="2"/>
      <c r="O95">
        <f>F95+U93</f>
        <v>0.35630692022847837</v>
      </c>
    </row>
    <row r="96" spans="1:22" x14ac:dyDescent="0.25">
      <c r="B96" t="s">
        <v>84</v>
      </c>
      <c r="C96" s="2" t="s">
        <v>194</v>
      </c>
      <c r="D96" s="2"/>
      <c r="E96" s="2"/>
      <c r="F96">
        <f>(U100*U93)/((1-U109)*(1-U100))</f>
        <v>0.94650353908107454</v>
      </c>
      <c r="J96" s="2" t="s">
        <v>84</v>
      </c>
      <c r="K96" s="2"/>
      <c r="L96" s="2" t="s">
        <v>154</v>
      </c>
      <c r="M96" s="2"/>
      <c r="N96" s="2"/>
      <c r="O96">
        <f>F96+U93</f>
        <v>1.1411702057477413</v>
      </c>
    </row>
    <row r="97" spans="1:21" x14ac:dyDescent="0.25">
      <c r="A97" t="s">
        <v>27</v>
      </c>
      <c r="B97" t="s">
        <v>95</v>
      </c>
      <c r="C97" s="2" t="s">
        <v>192</v>
      </c>
      <c r="D97" s="2"/>
      <c r="E97" s="2"/>
      <c r="F97">
        <f>(U101*U94)/(1-U111)</f>
        <v>0.61123616769028744</v>
      </c>
      <c r="I97" t="s">
        <v>27</v>
      </c>
      <c r="J97" s="2" t="s">
        <v>95</v>
      </c>
      <c r="K97" s="2"/>
      <c r="L97" s="2" t="s">
        <v>152</v>
      </c>
      <c r="M97" s="2"/>
      <c r="N97" s="2"/>
      <c r="O97">
        <f>F97+U93</f>
        <v>0.80590283435695409</v>
      </c>
      <c r="R97" s="50" t="s">
        <v>132</v>
      </c>
      <c r="S97" s="50"/>
      <c r="T97" s="50"/>
      <c r="U97" s="50"/>
    </row>
    <row r="98" spans="1:21" x14ac:dyDescent="0.25">
      <c r="B98" t="s">
        <v>84</v>
      </c>
      <c r="C98" s="2" t="s">
        <v>194</v>
      </c>
      <c r="D98" s="2"/>
      <c r="E98" s="2"/>
      <c r="F98">
        <f>(U101*U94)/((1-U111)*(1-U101))</f>
        <v>3.8147940433957661</v>
      </c>
      <c r="J98" s="2" t="s">
        <v>84</v>
      </c>
      <c r="K98" s="2"/>
      <c r="L98" s="2" t="s">
        <v>154</v>
      </c>
      <c r="M98" s="2"/>
      <c r="N98" s="2"/>
      <c r="O98">
        <f>F98+U94</f>
        <v>4.5418856768619014</v>
      </c>
      <c r="R98" t="s">
        <v>24</v>
      </c>
      <c r="S98" s="52" t="s">
        <v>134</v>
      </c>
      <c r="T98" s="52"/>
      <c r="U98">
        <f>Q19*U91</f>
        <v>0.82782276656185649</v>
      </c>
    </row>
    <row r="99" spans="1:21" x14ac:dyDescent="0.25">
      <c r="A99" s="54" t="s">
        <v>156</v>
      </c>
      <c r="B99" s="54"/>
      <c r="C99" s="54"/>
      <c r="D99" s="54"/>
      <c r="E99" s="54"/>
      <c r="F99" s="54"/>
      <c r="I99" s="54" t="s">
        <v>157</v>
      </c>
      <c r="J99" s="54"/>
      <c r="K99" s="54"/>
      <c r="L99" s="54"/>
      <c r="M99" s="54"/>
      <c r="N99" s="54"/>
      <c r="O99" s="54"/>
      <c r="R99" t="s">
        <v>25</v>
      </c>
      <c r="S99" s="52" t="s">
        <v>136</v>
      </c>
      <c r="T99" s="52"/>
      <c r="U99">
        <f>Q20*U92</f>
        <v>0.84217781031547767</v>
      </c>
    </row>
    <row r="100" spans="1:21" x14ac:dyDescent="0.25">
      <c r="A100" s="6" t="s">
        <v>71</v>
      </c>
      <c r="B100" s="3" t="s">
        <v>72</v>
      </c>
      <c r="C100" s="3"/>
      <c r="D100" s="3"/>
      <c r="E100" s="3"/>
      <c r="F100" s="6" t="s">
        <v>149</v>
      </c>
      <c r="I100" s="6" t="s">
        <v>71</v>
      </c>
      <c r="J100" s="3" t="s">
        <v>72</v>
      </c>
      <c r="K100" s="3"/>
      <c r="L100" s="3"/>
      <c r="M100" s="3"/>
      <c r="N100" s="3"/>
      <c r="O100" s="6" t="s">
        <v>150</v>
      </c>
      <c r="R100" t="s">
        <v>26</v>
      </c>
      <c r="S100" s="52" t="s">
        <v>137</v>
      </c>
      <c r="T100" s="52"/>
      <c r="U100">
        <f>Q21*U93</f>
        <v>0.82922382549277918</v>
      </c>
    </row>
    <row r="101" spans="1:21" x14ac:dyDescent="0.25">
      <c r="A101" t="s">
        <v>24</v>
      </c>
      <c r="B101" s="2" t="s">
        <v>158</v>
      </c>
      <c r="C101" s="2"/>
      <c r="D101" s="2"/>
      <c r="E101" s="2"/>
      <c r="F101">
        <f>T105*F91+T106*F92</f>
        <v>0.1823281675071578</v>
      </c>
      <c r="I101" t="s">
        <v>24</v>
      </c>
      <c r="J101" s="2" t="s">
        <v>159</v>
      </c>
      <c r="K101" s="2"/>
      <c r="L101" s="2"/>
      <c r="M101" s="2"/>
      <c r="N101" s="2"/>
      <c r="O101">
        <f>T105*O91+T106*O92</f>
        <v>0.22025024542923571</v>
      </c>
      <c r="R101" t="s">
        <v>27</v>
      </c>
      <c r="S101" s="52" t="s">
        <v>138</v>
      </c>
      <c r="T101" s="52"/>
      <c r="U101">
        <f>Q22*U94</f>
        <v>0.83977217099086399</v>
      </c>
    </row>
    <row r="102" spans="1:21" x14ac:dyDescent="0.25">
      <c r="A102" t="s">
        <v>25</v>
      </c>
      <c r="B102" s="2" t="s">
        <v>158</v>
      </c>
      <c r="C102" s="2"/>
      <c r="D102" s="2"/>
      <c r="E102" s="2"/>
      <c r="F102">
        <f>T107*F93+T108*F94</f>
        <v>0.32375819241925113</v>
      </c>
      <c r="I102" t="s">
        <v>25</v>
      </c>
      <c r="J102" s="2" t="s">
        <v>159</v>
      </c>
      <c r="K102" s="2"/>
      <c r="L102" s="2"/>
      <c r="M102" s="2"/>
      <c r="N102" s="2"/>
      <c r="O102">
        <f>T107*O93+T108*O94</f>
        <v>0.38442973497244265</v>
      </c>
    </row>
    <row r="103" spans="1:21" x14ac:dyDescent="0.25">
      <c r="A103" t="s">
        <v>26</v>
      </c>
      <c r="B103" s="2" t="s">
        <v>158</v>
      </c>
      <c r="C103" s="2"/>
      <c r="D103" s="2"/>
      <c r="E103" s="2"/>
      <c r="F103">
        <f>T109*F95+T110*F96</f>
        <v>0.94522692345726322</v>
      </c>
      <c r="I103" t="s">
        <v>26</v>
      </c>
      <c r="J103" s="2" t="s">
        <v>159</v>
      </c>
      <c r="K103" s="2"/>
      <c r="L103" s="2"/>
      <c r="M103" s="2"/>
      <c r="N103" s="2"/>
      <c r="O103">
        <f>T109*O95+T110*O96</f>
        <v>1.13989359012393</v>
      </c>
      <c r="R103" s="50" t="s">
        <v>139</v>
      </c>
      <c r="S103" s="50"/>
      <c r="T103" s="50"/>
      <c r="U103" s="50"/>
    </row>
    <row r="104" spans="1:21" x14ac:dyDescent="0.25">
      <c r="A104" t="s">
        <v>27</v>
      </c>
      <c r="B104" s="2" t="s">
        <v>158</v>
      </c>
      <c r="C104" s="2"/>
      <c r="D104" s="2"/>
      <c r="E104" s="2"/>
      <c r="F104">
        <f>T111*F97+T112*F98</f>
        <v>3.8107694732001556</v>
      </c>
      <c r="I104" t="s">
        <v>27</v>
      </c>
      <c r="J104" s="2" t="s">
        <v>159</v>
      </c>
      <c r="K104" s="2"/>
      <c r="L104" s="2"/>
      <c r="M104" s="2"/>
      <c r="N104" s="2"/>
      <c r="O104">
        <f>T111*O97+T112*O98</f>
        <v>4.5371922310798594</v>
      </c>
      <c r="R104" s="6" t="s">
        <v>71</v>
      </c>
      <c r="S104" s="6" t="s">
        <v>140</v>
      </c>
      <c r="T104" s="6" t="s">
        <v>141</v>
      </c>
      <c r="U104" s="6" t="s">
        <v>142</v>
      </c>
    </row>
    <row r="105" spans="1:21" x14ac:dyDescent="0.25">
      <c r="R105" t="s">
        <v>24</v>
      </c>
      <c r="S105" t="s">
        <v>143</v>
      </c>
      <c r="T105" s="44">
        <f>P10/Q19</f>
        <v>9.3421182023797802E-4</v>
      </c>
      <c r="U105">
        <f>T105*U98</f>
        <v>7.7336181358419076E-4</v>
      </c>
    </row>
    <row r="106" spans="1:21" x14ac:dyDescent="0.25">
      <c r="S106" t="s">
        <v>144</v>
      </c>
      <c r="T106" s="44">
        <f>P11/Q19</f>
        <v>0.99906578817976199</v>
      </c>
      <c r="U106">
        <f>T106*U98</f>
        <v>0.82704940474827227</v>
      </c>
    </row>
    <row r="107" spans="1:21" x14ac:dyDescent="0.25">
      <c r="A107" s="54" t="s">
        <v>160</v>
      </c>
      <c r="B107" s="54"/>
      <c r="C107" s="54"/>
      <c r="D107" s="54"/>
      <c r="E107" s="54"/>
      <c r="F107" s="54"/>
      <c r="I107" s="54" t="s">
        <v>161</v>
      </c>
      <c r="J107" s="54"/>
      <c r="K107" s="54"/>
      <c r="L107" s="54"/>
      <c r="M107" s="54"/>
      <c r="N107" s="54"/>
      <c r="O107" s="54"/>
      <c r="R107" t="s">
        <v>25</v>
      </c>
      <c r="S107" t="s">
        <v>143</v>
      </c>
      <c r="T107" s="44">
        <f>P12/Q20</f>
        <v>7.4327337594767362E-4</v>
      </c>
      <c r="U107">
        <f>T107*U99</f>
        <v>6.259683442214046E-4</v>
      </c>
    </row>
    <row r="108" spans="1:21" x14ac:dyDescent="0.25">
      <c r="A108" s="6" t="s">
        <v>71</v>
      </c>
      <c r="B108" s="6" t="s">
        <v>148</v>
      </c>
      <c r="C108" s="3" t="s">
        <v>72</v>
      </c>
      <c r="D108" s="3"/>
      <c r="E108" s="3"/>
      <c r="F108" s="6" t="s">
        <v>162</v>
      </c>
      <c r="I108" s="6" t="s">
        <v>71</v>
      </c>
      <c r="J108" s="3" t="s">
        <v>148</v>
      </c>
      <c r="K108" s="3"/>
      <c r="L108" s="3" t="s">
        <v>72</v>
      </c>
      <c r="M108" s="3"/>
      <c r="N108" s="3"/>
      <c r="O108" s="6" t="s">
        <v>163</v>
      </c>
      <c r="S108" t="s">
        <v>144</v>
      </c>
      <c r="T108" s="44">
        <f>P13/Q20</f>
        <v>0.99925672662405252</v>
      </c>
      <c r="U108">
        <f>T108*U99</f>
        <v>0.84155184197125643</v>
      </c>
    </row>
    <row r="109" spans="1:21" x14ac:dyDescent="0.25">
      <c r="A109" t="s">
        <v>24</v>
      </c>
      <c r="B109" t="s">
        <v>81</v>
      </c>
      <c r="C109" s="2" t="s">
        <v>164</v>
      </c>
      <c r="D109" s="2"/>
      <c r="E109" s="2"/>
      <c r="F109" s="7">
        <f t="shared" ref="F109:F116" si="2">P10*F91</f>
        <v>6.4070201054340051E-4</v>
      </c>
      <c r="I109" t="s">
        <v>24</v>
      </c>
      <c r="J109" s="2" t="s">
        <v>81</v>
      </c>
      <c r="K109" s="2"/>
      <c r="L109" s="2" t="s">
        <v>165</v>
      </c>
      <c r="M109" s="2"/>
      <c r="N109" s="2"/>
      <c r="O109">
        <f t="shared" ref="O109:O116" si="3">P10*O91</f>
        <v>1.4140638241275914E-3</v>
      </c>
      <c r="R109" t="s">
        <v>26</v>
      </c>
      <c r="S109" t="s">
        <v>143</v>
      </c>
      <c r="T109" s="44">
        <f>P14/Q21</f>
        <v>1.6265452179570592E-3</v>
      </c>
      <c r="U109">
        <f>T109*U100</f>
        <v>1.3487700479713389E-3</v>
      </c>
    </row>
    <row r="110" spans="1:21" x14ac:dyDescent="0.25">
      <c r="B110" t="s">
        <v>84</v>
      </c>
      <c r="C110" s="2" t="s">
        <v>166</v>
      </c>
      <c r="D110" s="2"/>
      <c r="E110" s="2"/>
      <c r="F110" s="7">
        <f t="shared" si="2"/>
        <v>3.9795053321300498</v>
      </c>
      <c r="J110" s="2" t="s">
        <v>84</v>
      </c>
      <c r="K110" s="2"/>
      <c r="L110" s="2" t="s">
        <v>167</v>
      </c>
      <c r="M110" s="2"/>
      <c r="N110" s="2"/>
      <c r="O110">
        <f t="shared" si="3"/>
        <v>4.8065547368783212</v>
      </c>
      <c r="S110" t="s">
        <v>144</v>
      </c>
      <c r="T110" s="44">
        <f>P15/Q21</f>
        <v>0.99837345478204298</v>
      </c>
      <c r="U110">
        <f>T110*U100</f>
        <v>0.82787505544480788</v>
      </c>
    </row>
    <row r="111" spans="1:21" x14ac:dyDescent="0.25">
      <c r="A111" t="s">
        <v>25</v>
      </c>
      <c r="B111" t="s">
        <v>81</v>
      </c>
      <c r="C111" s="2" t="s">
        <v>168</v>
      </c>
      <c r="D111" s="2"/>
      <c r="E111" s="2"/>
      <c r="F111" s="7">
        <f t="shared" si="2"/>
        <v>5.2750685205393323E-4</v>
      </c>
      <c r="I111" t="s">
        <v>25</v>
      </c>
      <c r="J111" s="2" t="s">
        <v>81</v>
      </c>
      <c r="K111" s="2"/>
      <c r="L111" s="2" t="s">
        <v>169</v>
      </c>
      <c r="M111" s="2"/>
      <c r="N111" s="2"/>
      <c r="O111">
        <f t="shared" si="3"/>
        <v>1.1534751962753377E-3</v>
      </c>
      <c r="R111" t="s">
        <v>27</v>
      </c>
      <c r="S111" t="s">
        <v>143</v>
      </c>
      <c r="T111" s="44">
        <f>P16/Q22</f>
        <v>1.2562814070351759E-3</v>
      </c>
      <c r="U111">
        <f>T111*U101</f>
        <v>1.0549901645613869E-3</v>
      </c>
    </row>
    <row r="112" spans="1:21" x14ac:dyDescent="0.25">
      <c r="B112" t="s">
        <v>84</v>
      </c>
      <c r="C112" s="2" t="s">
        <v>170</v>
      </c>
      <c r="D112" s="2"/>
      <c r="E112" s="2"/>
      <c r="F112" s="7">
        <f t="shared" si="2"/>
        <v>4.4935393008988109</v>
      </c>
      <c r="J112" s="2" t="s">
        <v>84</v>
      </c>
      <c r="K112" s="2"/>
      <c r="L112" s="2" t="s">
        <v>171</v>
      </c>
      <c r="M112" s="2"/>
      <c r="N112" s="2"/>
      <c r="O112">
        <f t="shared" si="3"/>
        <v>5.3350911428700671</v>
      </c>
      <c r="S112" t="s">
        <v>144</v>
      </c>
      <c r="T112" s="44">
        <f>P17/Q22</f>
        <v>0.99874371859296474</v>
      </c>
      <c r="U112">
        <f>T112*U101</f>
        <v>0.83871718082630253</v>
      </c>
    </row>
    <row r="113" spans="1:20" x14ac:dyDescent="0.25">
      <c r="A113" t="s">
        <v>26</v>
      </c>
      <c r="B113" t="s">
        <v>81</v>
      </c>
      <c r="C113" s="2" t="s">
        <v>172</v>
      </c>
      <c r="D113" s="2"/>
      <c r="E113" s="2"/>
      <c r="F113" s="7">
        <f t="shared" si="2"/>
        <v>1.1199428041986171E-3</v>
      </c>
      <c r="I113" t="s">
        <v>26</v>
      </c>
      <c r="J113" s="2" t="s">
        <v>81</v>
      </c>
      <c r="K113" s="2"/>
      <c r="L113" s="2" t="s">
        <v>173</v>
      </c>
      <c r="M113" s="2"/>
      <c r="N113" s="2"/>
      <c r="O113">
        <f t="shared" si="3"/>
        <v>2.4687128521699562E-3</v>
      </c>
    </row>
    <row r="114" spans="1:20" x14ac:dyDescent="0.25">
      <c r="B114" t="s">
        <v>84</v>
      </c>
      <c r="C114" s="2" t="s">
        <v>174</v>
      </c>
      <c r="D114" s="2"/>
      <c r="E114" s="2"/>
      <c r="F114" s="7">
        <f t="shared" si="2"/>
        <v>4.0252739891889631</v>
      </c>
      <c r="J114" s="2" t="s">
        <v>84</v>
      </c>
      <c r="K114" s="2"/>
      <c r="L114" s="2" t="s">
        <v>175</v>
      </c>
      <c r="M114" s="2"/>
      <c r="N114" s="2"/>
      <c r="O114">
        <f t="shared" si="3"/>
        <v>4.8531490446337715</v>
      </c>
    </row>
    <row r="115" spans="1:20" x14ac:dyDescent="0.25">
      <c r="A115" t="s">
        <v>27</v>
      </c>
      <c r="B115" t="s">
        <v>95</v>
      </c>
      <c r="C115" s="2" t="s">
        <v>176</v>
      </c>
      <c r="D115" s="2"/>
      <c r="E115" s="2"/>
      <c r="F115" s="7">
        <f t="shared" si="2"/>
        <v>8.8688703796985994E-4</v>
      </c>
      <c r="I115" t="s">
        <v>27</v>
      </c>
      <c r="J115" s="2" t="s">
        <v>95</v>
      </c>
      <c r="K115" s="2"/>
      <c r="L115" s="2" t="s">
        <v>177</v>
      </c>
      <c r="M115" s="2"/>
      <c r="N115" s="2"/>
      <c r="O115">
        <f t="shared" si="3"/>
        <v>1.169343071361762E-3</v>
      </c>
    </row>
    <row r="116" spans="1:20" x14ac:dyDescent="0.25">
      <c r="B116" t="s">
        <v>84</v>
      </c>
      <c r="C116" s="2" t="s">
        <v>178</v>
      </c>
      <c r="D116" s="2"/>
      <c r="E116" s="2"/>
      <c r="F116" s="7">
        <f t="shared" si="2"/>
        <v>4.4004540256601485</v>
      </c>
      <c r="J116" s="2" t="s">
        <v>84</v>
      </c>
      <c r="K116" s="2"/>
      <c r="L116" s="2" t="s">
        <v>179</v>
      </c>
      <c r="M116" s="2"/>
      <c r="N116" s="2"/>
      <c r="O116">
        <f t="shared" si="3"/>
        <v>5.2391712064864508</v>
      </c>
      <c r="S116" s="55" t="s">
        <v>155</v>
      </c>
      <c r="T116" s="55"/>
    </row>
    <row r="117" spans="1:20" x14ac:dyDescent="0.25">
      <c r="A117" s="54" t="s">
        <v>180</v>
      </c>
      <c r="B117" s="54"/>
      <c r="C117" s="54"/>
      <c r="D117" s="54"/>
      <c r="E117" s="54"/>
      <c r="F117" s="54"/>
      <c r="I117" s="54" t="s">
        <v>181</v>
      </c>
      <c r="J117" s="54"/>
      <c r="K117" s="54"/>
      <c r="L117" s="54"/>
      <c r="M117" s="54"/>
      <c r="N117" s="54"/>
      <c r="O117" s="54"/>
      <c r="S117" t="s">
        <v>24</v>
      </c>
      <c r="T117" t="b">
        <f>IF(Q19&lt;=V91,TRUE())</f>
        <v>1</v>
      </c>
    </row>
    <row r="118" spans="1:20" x14ac:dyDescent="0.25">
      <c r="A118" s="6" t="s">
        <v>71</v>
      </c>
      <c r="B118" s="3" t="s">
        <v>72</v>
      </c>
      <c r="C118" s="3"/>
      <c r="D118" s="3"/>
      <c r="E118" s="3"/>
      <c r="F118" s="6" t="s">
        <v>162</v>
      </c>
      <c r="I118" s="6" t="s">
        <v>71</v>
      </c>
      <c r="J118" s="3" t="s">
        <v>72</v>
      </c>
      <c r="K118" s="3"/>
      <c r="L118" s="3"/>
      <c r="M118" s="3"/>
      <c r="N118" s="3"/>
      <c r="O118" s="6" t="s">
        <v>163</v>
      </c>
      <c r="S118" t="s">
        <v>25</v>
      </c>
      <c r="T118" t="b">
        <f>IF(Q20&lt;=V92,TRUE())</f>
        <v>1</v>
      </c>
    </row>
    <row r="119" spans="1:20" x14ac:dyDescent="0.25">
      <c r="A119" t="s">
        <v>24</v>
      </c>
      <c r="B119" s="2" t="s">
        <v>182</v>
      </c>
      <c r="C119" s="2"/>
      <c r="D119" s="2"/>
      <c r="E119" s="2"/>
      <c r="F119">
        <f>Q19*F101</f>
        <v>3.980146034140593</v>
      </c>
      <c r="I119" t="s">
        <v>24</v>
      </c>
      <c r="J119" s="2" t="s">
        <v>183</v>
      </c>
      <c r="K119" s="2"/>
      <c r="L119" s="2"/>
      <c r="M119" s="2"/>
      <c r="N119" s="2"/>
      <c r="O119">
        <f>Q19*O101</f>
        <v>4.807968800702449</v>
      </c>
      <c r="S119" t="s">
        <v>26</v>
      </c>
      <c r="T119" t="b">
        <f>IF(Q21&lt;=V93,TRUE())</f>
        <v>1</v>
      </c>
    </row>
    <row r="120" spans="1:20" x14ac:dyDescent="0.25">
      <c r="A120" t="s">
        <v>25</v>
      </c>
      <c r="B120" s="2" t="s">
        <v>184</v>
      </c>
      <c r="C120" s="2"/>
      <c r="D120" s="2"/>
      <c r="E120" s="2"/>
      <c r="F120">
        <f>Q20*F102</f>
        <v>4.4940668077508645</v>
      </c>
      <c r="I120" t="s">
        <v>25</v>
      </c>
      <c r="J120" s="2" t="s">
        <v>185</v>
      </c>
      <c r="K120" s="2"/>
      <c r="L120" s="2"/>
      <c r="M120" s="2"/>
      <c r="N120" s="2"/>
      <c r="O120">
        <f>Q20*O102</f>
        <v>5.3362446180663428</v>
      </c>
      <c r="S120" t="s">
        <v>27</v>
      </c>
      <c r="T120" t="b">
        <f>IF(Q22&lt;=V94,TRUE())</f>
        <v>1</v>
      </c>
    </row>
    <row r="121" spans="1:20" x14ac:dyDescent="0.25">
      <c r="A121" t="s">
        <v>26</v>
      </c>
      <c r="B121" s="2" t="s">
        <v>186</v>
      </c>
      <c r="C121" s="2"/>
      <c r="D121" s="2"/>
      <c r="E121" s="2"/>
      <c r="F121">
        <f>Q21*F103</f>
        <v>4.0263939319931614</v>
      </c>
      <c r="I121" t="s">
        <v>26</v>
      </c>
      <c r="J121" s="2" t="s">
        <v>187</v>
      </c>
      <c r="K121" s="2"/>
      <c r="L121" s="2"/>
      <c r="M121" s="2"/>
      <c r="N121" s="2"/>
      <c r="O121">
        <f>Q21*O103</f>
        <v>4.8556177574859412</v>
      </c>
    </row>
    <row r="122" spans="1:20" x14ac:dyDescent="0.25">
      <c r="A122" t="s">
        <v>27</v>
      </c>
      <c r="B122" s="2" t="s">
        <v>188</v>
      </c>
      <c r="C122" s="2"/>
      <c r="D122" s="2"/>
      <c r="E122" s="2"/>
      <c r="F122">
        <f>Q22*F104</f>
        <v>4.4013409126981182</v>
      </c>
      <c r="I122" t="s">
        <v>27</v>
      </c>
      <c r="J122" s="2" t="s">
        <v>189</v>
      </c>
      <c r="K122" s="2"/>
      <c r="L122" s="2"/>
      <c r="M122" s="2"/>
      <c r="N122" s="2"/>
      <c r="O122">
        <f>Q22*O104</f>
        <v>5.2403405495578124</v>
      </c>
    </row>
  </sheetData>
  <mergeCells count="263">
    <mergeCell ref="B121:E121"/>
    <mergeCell ref="J121:N121"/>
    <mergeCell ref="B122:E122"/>
    <mergeCell ref="J122:N122"/>
    <mergeCell ref="S116:T116"/>
    <mergeCell ref="A117:F117"/>
    <mergeCell ref="I117:O117"/>
    <mergeCell ref="B118:E118"/>
    <mergeCell ref="J118:N118"/>
    <mergeCell ref="B119:E119"/>
    <mergeCell ref="J119:N119"/>
    <mergeCell ref="B120:E120"/>
    <mergeCell ref="J120:N120"/>
    <mergeCell ref="C114:E114"/>
    <mergeCell ref="J114:K114"/>
    <mergeCell ref="L114:N114"/>
    <mergeCell ref="C115:E115"/>
    <mergeCell ref="J115:K115"/>
    <mergeCell ref="L115:N115"/>
    <mergeCell ref="C116:E116"/>
    <mergeCell ref="J116:K116"/>
    <mergeCell ref="L116:N116"/>
    <mergeCell ref="C111:E111"/>
    <mergeCell ref="J111:K111"/>
    <mergeCell ref="L111:N111"/>
    <mergeCell ref="C112:E112"/>
    <mergeCell ref="J112:K112"/>
    <mergeCell ref="L112:N112"/>
    <mergeCell ref="C113:E113"/>
    <mergeCell ref="J113:K113"/>
    <mergeCell ref="L113:N113"/>
    <mergeCell ref="A107:F107"/>
    <mergeCell ref="I107:O107"/>
    <mergeCell ref="C108:E108"/>
    <mergeCell ref="J108:K108"/>
    <mergeCell ref="L108:N108"/>
    <mergeCell ref="C109:E109"/>
    <mergeCell ref="J109:K109"/>
    <mergeCell ref="L109:N109"/>
    <mergeCell ref="C110:E110"/>
    <mergeCell ref="J110:K110"/>
    <mergeCell ref="L110:N110"/>
    <mergeCell ref="B101:E101"/>
    <mergeCell ref="J101:N101"/>
    <mergeCell ref="S101:T101"/>
    <mergeCell ref="B102:E102"/>
    <mergeCell ref="J102:N102"/>
    <mergeCell ref="B103:E103"/>
    <mergeCell ref="J103:N103"/>
    <mergeCell ref="R103:U103"/>
    <mergeCell ref="B104:E104"/>
    <mergeCell ref="J104:N104"/>
    <mergeCell ref="R97:U97"/>
    <mergeCell ref="C98:E98"/>
    <mergeCell ref="J98:K98"/>
    <mergeCell ref="L98:N98"/>
    <mergeCell ref="S98:T98"/>
    <mergeCell ref="A99:F99"/>
    <mergeCell ref="I99:O99"/>
    <mergeCell ref="S99:T99"/>
    <mergeCell ref="B100:E100"/>
    <mergeCell ref="J100:N100"/>
    <mergeCell ref="S100:T100"/>
    <mergeCell ref="C95:E95"/>
    <mergeCell ref="J95:K95"/>
    <mergeCell ref="L95:N95"/>
    <mergeCell ref="C96:E96"/>
    <mergeCell ref="J96:K96"/>
    <mergeCell ref="L96:N96"/>
    <mergeCell ref="C97:E97"/>
    <mergeCell ref="J97:K97"/>
    <mergeCell ref="L97:N97"/>
    <mergeCell ref="C92:E92"/>
    <mergeCell ref="J92:K92"/>
    <mergeCell ref="L92:N92"/>
    <mergeCell ref="S92:T92"/>
    <mergeCell ref="C93:E93"/>
    <mergeCell ref="J93:K93"/>
    <mergeCell ref="L93:N93"/>
    <mergeCell ref="S93:T93"/>
    <mergeCell ref="C94:E94"/>
    <mergeCell ref="J94:K94"/>
    <mergeCell ref="L94:N94"/>
    <mergeCell ref="S94:T94"/>
    <mergeCell ref="A89:F89"/>
    <mergeCell ref="I89:O89"/>
    <mergeCell ref="R89:V89"/>
    <mergeCell ref="C90:E90"/>
    <mergeCell ref="J90:K90"/>
    <mergeCell ref="L90:N90"/>
    <mergeCell ref="S90:T90"/>
    <mergeCell ref="C91:E91"/>
    <mergeCell ref="J91:K91"/>
    <mergeCell ref="L91:N91"/>
    <mergeCell ref="S91:T91"/>
    <mergeCell ref="B82:E82"/>
    <mergeCell ref="J82:N82"/>
    <mergeCell ref="B83:E83"/>
    <mergeCell ref="J83:N83"/>
    <mergeCell ref="B84:E84"/>
    <mergeCell ref="J84:N84"/>
    <mergeCell ref="B85:E85"/>
    <mergeCell ref="J85:N85"/>
    <mergeCell ref="A88:O88"/>
    <mergeCell ref="C78:E78"/>
    <mergeCell ref="J78:K78"/>
    <mergeCell ref="L78:N78"/>
    <mergeCell ref="C79:E79"/>
    <mergeCell ref="J79:K79"/>
    <mergeCell ref="L79:N79"/>
    <mergeCell ref="A80:F80"/>
    <mergeCell ref="I80:O80"/>
    <mergeCell ref="B81:E81"/>
    <mergeCell ref="J81:N81"/>
    <mergeCell ref="C75:E75"/>
    <mergeCell ref="J75:K75"/>
    <mergeCell ref="L75:N75"/>
    <mergeCell ref="C76:E76"/>
    <mergeCell ref="J76:K76"/>
    <mergeCell ref="L76:N76"/>
    <mergeCell ref="C77:E77"/>
    <mergeCell ref="J77:K77"/>
    <mergeCell ref="L77:N77"/>
    <mergeCell ref="C72:E72"/>
    <mergeCell ref="J72:K72"/>
    <mergeCell ref="L72:N72"/>
    <mergeCell ref="C73:E73"/>
    <mergeCell ref="J73:K73"/>
    <mergeCell ref="L73:N73"/>
    <mergeCell ref="C74:E74"/>
    <mergeCell ref="J74:K74"/>
    <mergeCell ref="L74:N74"/>
    <mergeCell ref="B65:E65"/>
    <mergeCell ref="J65:N65"/>
    <mergeCell ref="B66:E66"/>
    <mergeCell ref="J66:N66"/>
    <mergeCell ref="B67:E67"/>
    <mergeCell ref="J67:N67"/>
    <mergeCell ref="A70:F70"/>
    <mergeCell ref="I70:O70"/>
    <mergeCell ref="C71:E71"/>
    <mergeCell ref="J71:K71"/>
    <mergeCell ref="L71:N71"/>
    <mergeCell ref="C61:E61"/>
    <mergeCell ref="J61:K61"/>
    <mergeCell ref="L61:N61"/>
    <mergeCell ref="A62:F62"/>
    <mergeCell ref="I62:O62"/>
    <mergeCell ref="B63:E63"/>
    <mergeCell ref="J63:N63"/>
    <mergeCell ref="B64:E64"/>
    <mergeCell ref="J64:N64"/>
    <mergeCell ref="C58:E58"/>
    <mergeCell ref="J58:K58"/>
    <mergeCell ref="L58:N58"/>
    <mergeCell ref="C59:E59"/>
    <mergeCell ref="J59:K59"/>
    <mergeCell ref="L59:N59"/>
    <mergeCell ref="C60:E60"/>
    <mergeCell ref="J60:K60"/>
    <mergeCell ref="L60:N60"/>
    <mergeCell ref="C55:E55"/>
    <mergeCell ref="J55:K55"/>
    <mergeCell ref="L55:N55"/>
    <mergeCell ref="S55:T55"/>
    <mergeCell ref="C56:E56"/>
    <mergeCell ref="J56:K56"/>
    <mergeCell ref="L56:N56"/>
    <mergeCell ref="C57:E57"/>
    <mergeCell ref="J57:K57"/>
    <mergeCell ref="L57:N57"/>
    <mergeCell ref="A40:D40"/>
    <mergeCell ref="A51:O51"/>
    <mergeCell ref="A52:F52"/>
    <mergeCell ref="I52:O52"/>
    <mergeCell ref="C53:E53"/>
    <mergeCell ref="J53:K53"/>
    <mergeCell ref="L53:N53"/>
    <mergeCell ref="C54:E54"/>
    <mergeCell ref="J54:K54"/>
    <mergeCell ref="L54:N54"/>
    <mergeCell ref="A33:D33"/>
    <mergeCell ref="F33:I33"/>
    <mergeCell ref="B34:C34"/>
    <mergeCell ref="G34:H34"/>
    <mergeCell ref="B35:C35"/>
    <mergeCell ref="G35:H35"/>
    <mergeCell ref="B36:C36"/>
    <mergeCell ref="G36:H36"/>
    <mergeCell ref="B37:C37"/>
    <mergeCell ref="G37:H37"/>
    <mergeCell ref="B28:D28"/>
    <mergeCell ref="J28:M28"/>
    <mergeCell ref="R28:U28"/>
    <mergeCell ref="Z28:AA28"/>
    <mergeCell ref="B29:D29"/>
    <mergeCell ref="J29:M29"/>
    <mergeCell ref="R29:U29"/>
    <mergeCell ref="Z29:AA29"/>
    <mergeCell ref="B30:D30"/>
    <mergeCell ref="J30:M30"/>
    <mergeCell ref="R30:U30"/>
    <mergeCell ref="Z30:AA30"/>
    <mergeCell ref="A25:F25"/>
    <mergeCell ref="I25:N25"/>
    <mergeCell ref="Q25:V25"/>
    <mergeCell ref="Y25:AC25"/>
    <mergeCell ref="B26:D26"/>
    <mergeCell ref="J26:M26"/>
    <mergeCell ref="R26:U26"/>
    <mergeCell ref="Z26:AA26"/>
    <mergeCell ref="B27:D27"/>
    <mergeCell ref="J27:M27"/>
    <mergeCell ref="R27:U27"/>
    <mergeCell ref="Z27:AA27"/>
    <mergeCell ref="A18:G18"/>
    <mergeCell ref="I18:Q18"/>
    <mergeCell ref="C19:F19"/>
    <mergeCell ref="J19:P19"/>
    <mergeCell ref="C20:F20"/>
    <mergeCell ref="J20:P20"/>
    <mergeCell ref="C21:F21"/>
    <mergeCell ref="J21:P21"/>
    <mergeCell ref="C22:F22"/>
    <mergeCell ref="J22:P22"/>
    <mergeCell ref="C15:F15"/>
    <mergeCell ref="J15:K15"/>
    <mergeCell ref="L15:O15"/>
    <mergeCell ref="C16:F16"/>
    <mergeCell ref="J16:K16"/>
    <mergeCell ref="L16:O16"/>
    <mergeCell ref="C17:F17"/>
    <mergeCell ref="J17:K17"/>
    <mergeCell ref="L17:O17"/>
    <mergeCell ref="C12:F12"/>
    <mergeCell ref="J12:K12"/>
    <mergeCell ref="L12:O12"/>
    <mergeCell ref="C13:F13"/>
    <mergeCell ref="J13:K13"/>
    <mergeCell ref="L13:O13"/>
    <mergeCell ref="C14:F14"/>
    <mergeCell ref="J14:K14"/>
    <mergeCell ref="L14:O14"/>
    <mergeCell ref="B6:C6"/>
    <mergeCell ref="H6:J6"/>
    <mergeCell ref="A9:G9"/>
    <mergeCell ref="I9:P9"/>
    <mergeCell ref="C10:F10"/>
    <mergeCell ref="J10:K10"/>
    <mergeCell ref="L10:O10"/>
    <mergeCell ref="C11:F11"/>
    <mergeCell ref="J11:K11"/>
    <mergeCell ref="L11:O11"/>
    <mergeCell ref="A1:E1"/>
    <mergeCell ref="G1:M1"/>
    <mergeCell ref="B2:C2"/>
    <mergeCell ref="H2:J2"/>
    <mergeCell ref="B3:C3"/>
    <mergeCell ref="H3:J3"/>
    <mergeCell ref="B4:C4"/>
    <mergeCell ref="H4:J4"/>
    <mergeCell ref="B5:C5"/>
    <mergeCell ref="H5:J5"/>
  </mergeCells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93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Dati_OPTN</vt:lpstr>
      <vt:lpstr>Arrivi</vt:lpstr>
      <vt:lpstr>Uscite</vt:lpstr>
      <vt:lpstr>V1</vt:lpstr>
      <vt:lpstr>Verifica - ABO ID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Danilo Dell'Orco</dc:creator>
  <dc:description/>
  <cp:lastModifiedBy>Livia Simoncini</cp:lastModifiedBy>
  <cp:revision>13</cp:revision>
  <dcterms:created xsi:type="dcterms:W3CDTF">2015-06-05T18:19:34Z</dcterms:created>
  <dcterms:modified xsi:type="dcterms:W3CDTF">2023-08-08T23:16:52Z</dcterms:modified>
  <dc:language>it-IT</dc:language>
</cp:coreProperties>
</file>