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552" documentId="13_ncr:1_{5C906443-4F5B-40CD-81E0-07D312106D6E}" xr6:coauthVersionLast="47" xr6:coauthVersionMax="47" xr10:uidLastSave="{ACCE337F-B3FD-4C83-9459-5A1CBA26B4A2}"/>
  <bookViews>
    <workbookView xWindow="-120" yWindow="-120" windowWidth="20730" windowHeight="11160" tabRatio="500" xr2:uid="{00000000-000D-0000-FFFF-FFFF00000000}"/>
  </bookViews>
  <sheets>
    <sheet name="Dati_OPTN" sheetId="1" r:id="rId1"/>
    <sheet name="Arrivi" sheetId="2" r:id="rId2"/>
    <sheet name="Uscite" sheetId="3" r:id="rId3"/>
    <sheet name="Verifica - ABO ID - V1" sheetId="5" r:id="rId4"/>
    <sheet name="Foglio2" sheetId="8" r:id="rId5"/>
    <sheet name="Verifica - ABO ID - V2" sheetId="6" r:id="rId6"/>
  </sheets>
  <definedNames>
    <definedName name="_xlnm._FilterDatabase" localSheetId="1" hidden="1">Arrivi!$J$2:$M$22</definedName>
    <definedName name="_xlnm._FilterDatabase" localSheetId="0" hidden="1">Dati_OPTN!$N$71:$Y$91</definedName>
    <definedName name="_xlnm._FilterDatabase" localSheetId="2" hidden="1">Uscite!$L$48:$P$68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4" i="1" l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Q4" i="2"/>
  <c r="R4" i="2" s="1"/>
  <c r="Q5" i="2"/>
  <c r="R5" i="2" s="1"/>
  <c r="Q6" i="2"/>
  <c r="R6" i="2" s="1"/>
  <c r="Q7" i="2"/>
  <c r="Q8" i="2"/>
  <c r="R8" i="2" s="1"/>
  <c r="Q9" i="2"/>
  <c r="Q10" i="2"/>
  <c r="R10" i="2" s="1"/>
  <c r="Q11" i="2"/>
  <c r="Q12" i="2"/>
  <c r="R12" i="2" s="1"/>
  <c r="Q13" i="2"/>
  <c r="R13" i="2" s="1"/>
  <c r="Q14" i="2"/>
  <c r="R14" i="2" s="1"/>
  <c r="Q15" i="2"/>
  <c r="Q16" i="2"/>
  <c r="R16" i="2" s="1"/>
  <c r="Q17" i="2"/>
  <c r="R17" i="2" s="1"/>
  <c r="Q18" i="2"/>
  <c r="R18" i="2" s="1"/>
  <c r="Q19" i="2"/>
  <c r="Q20" i="2"/>
  <c r="R20" i="2" s="1"/>
  <c r="Q21" i="2"/>
  <c r="R21" i="2" s="1"/>
  <c r="Q22" i="2"/>
  <c r="R22" i="2" s="1"/>
  <c r="Q3" i="2"/>
  <c r="R19" i="2"/>
  <c r="R15" i="2"/>
  <c r="R11" i="2"/>
  <c r="R9" i="2"/>
  <c r="R7" i="2"/>
  <c r="R3" i="2"/>
  <c r="C45" i="5"/>
  <c r="C46" i="5"/>
  <c r="C47" i="5"/>
  <c r="C48" i="5"/>
  <c r="E48" i="5" s="1"/>
  <c r="C49" i="5"/>
  <c r="C50" i="5"/>
  <c r="C51" i="5"/>
  <c r="C44" i="5"/>
  <c r="E46" i="5"/>
  <c r="E47" i="5"/>
  <c r="E49" i="5"/>
  <c r="E50" i="5"/>
  <c r="E51" i="5"/>
  <c r="E45" i="5"/>
  <c r="E44" i="5"/>
  <c r="G34" i="5"/>
  <c r="G35" i="5"/>
  <c r="G36" i="5"/>
  <c r="G37" i="5"/>
  <c r="G38" i="5"/>
  <c r="G39" i="5"/>
  <c r="G40" i="5"/>
  <c r="G33" i="5"/>
  <c r="D33" i="5"/>
  <c r="D34" i="5"/>
  <c r="D35" i="5"/>
  <c r="D36" i="5"/>
  <c r="D37" i="5"/>
  <c r="D38" i="5"/>
  <c r="D39" i="5"/>
  <c r="D40" i="5"/>
  <c r="C34" i="5"/>
  <c r="C35" i="5"/>
  <c r="C36" i="5"/>
  <c r="C37" i="5"/>
  <c r="C38" i="5"/>
  <c r="C39" i="5"/>
  <c r="C40" i="5"/>
  <c r="C33" i="5"/>
  <c r="G3" i="8"/>
  <c r="F22" i="5"/>
  <c r="F3" i="8"/>
  <c r="D4" i="8"/>
  <c r="D3" i="8"/>
  <c r="F16" i="5"/>
  <c r="F13" i="5"/>
  <c r="F11" i="5"/>
  <c r="F15" i="5"/>
  <c r="F12" i="5"/>
  <c r="N50" i="3"/>
  <c r="O50" i="3" s="1"/>
  <c r="N51" i="3"/>
  <c r="O51" i="3" s="1"/>
  <c r="N52" i="3"/>
  <c r="O52" i="3" s="1"/>
  <c r="N53" i="3"/>
  <c r="O53" i="3" s="1"/>
  <c r="N54" i="3"/>
  <c r="O54" i="3" s="1"/>
  <c r="N55" i="3"/>
  <c r="N56" i="3"/>
  <c r="O56" i="3" s="1"/>
  <c r="N57" i="3"/>
  <c r="O57" i="3" s="1"/>
  <c r="N58" i="3"/>
  <c r="O58" i="3" s="1"/>
  <c r="N59" i="3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N68" i="3"/>
  <c r="O68" i="3" s="1"/>
  <c r="N49" i="3"/>
  <c r="O49" i="3" s="1"/>
  <c r="C49" i="3"/>
  <c r="D49" i="3" s="1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49" i="3"/>
  <c r="N22" i="3"/>
  <c r="N4" i="3"/>
  <c r="N5" i="3"/>
  <c r="O5" i="3" s="1"/>
  <c r="N6" i="3"/>
  <c r="N7" i="3"/>
  <c r="N8" i="3"/>
  <c r="N9" i="3"/>
  <c r="N10" i="3"/>
  <c r="N11" i="3"/>
  <c r="N12" i="3"/>
  <c r="N13" i="3"/>
  <c r="N14" i="3"/>
  <c r="O14" i="3" s="1"/>
  <c r="N15" i="3"/>
  <c r="O15" i="3" s="1"/>
  <c r="N16" i="3"/>
  <c r="N17" i="3"/>
  <c r="N18" i="3"/>
  <c r="N19" i="3"/>
  <c r="O19" i="3" s="1"/>
  <c r="N20" i="3"/>
  <c r="N21" i="3"/>
  <c r="O21" i="3" s="1"/>
  <c r="N3" i="3"/>
  <c r="L15" i="2"/>
  <c r="M15" i="2" s="1"/>
  <c r="L11" i="2"/>
  <c r="M11" i="2" s="1"/>
  <c r="H7" i="2"/>
  <c r="L3" i="2"/>
  <c r="M3" i="2" s="1"/>
  <c r="S88" i="1"/>
  <c r="T88" i="1"/>
  <c r="W88" i="1"/>
  <c r="X88" i="1"/>
  <c r="T84" i="1"/>
  <c r="X84" i="1"/>
  <c r="P84" i="1"/>
  <c r="C57" i="3"/>
  <c r="D57" i="3" s="1"/>
  <c r="T80" i="1"/>
  <c r="X80" i="1"/>
  <c r="P80" i="1"/>
  <c r="T76" i="1"/>
  <c r="X76" i="1"/>
  <c r="P76" i="1"/>
  <c r="P73" i="1"/>
  <c r="Q73" i="1"/>
  <c r="R73" i="1"/>
  <c r="S73" i="1"/>
  <c r="T73" i="1"/>
  <c r="U73" i="1"/>
  <c r="V73" i="1"/>
  <c r="W73" i="1"/>
  <c r="X73" i="1"/>
  <c r="Y73" i="1"/>
  <c r="P74" i="1"/>
  <c r="I28" i="3" s="1"/>
  <c r="Q74" i="1"/>
  <c r="R74" i="1"/>
  <c r="S74" i="1"/>
  <c r="T74" i="1"/>
  <c r="U74" i="1"/>
  <c r="V74" i="1"/>
  <c r="W74" i="1"/>
  <c r="X74" i="1"/>
  <c r="Y74" i="1"/>
  <c r="P75" i="1"/>
  <c r="Q75" i="1"/>
  <c r="R75" i="1"/>
  <c r="S75" i="1"/>
  <c r="T75" i="1"/>
  <c r="U75" i="1"/>
  <c r="V75" i="1"/>
  <c r="W75" i="1"/>
  <c r="X75" i="1"/>
  <c r="Y75" i="1"/>
  <c r="Q76" i="1"/>
  <c r="R76" i="1"/>
  <c r="S76" i="1"/>
  <c r="U76" i="1"/>
  <c r="V76" i="1"/>
  <c r="W76" i="1"/>
  <c r="Y76" i="1"/>
  <c r="P77" i="1"/>
  <c r="I31" i="3" s="1"/>
  <c r="Q77" i="1"/>
  <c r="R77" i="1"/>
  <c r="S77" i="1"/>
  <c r="T77" i="1"/>
  <c r="U77" i="1"/>
  <c r="V77" i="1"/>
  <c r="W77" i="1"/>
  <c r="X77" i="1"/>
  <c r="Y77" i="1"/>
  <c r="P78" i="1"/>
  <c r="I32" i="3" s="1"/>
  <c r="Q78" i="1"/>
  <c r="R78" i="1"/>
  <c r="S78" i="1"/>
  <c r="T78" i="1"/>
  <c r="U78" i="1"/>
  <c r="V78" i="1"/>
  <c r="W78" i="1"/>
  <c r="X78" i="1"/>
  <c r="Y78" i="1"/>
  <c r="P79" i="1"/>
  <c r="Q79" i="1"/>
  <c r="R79" i="1"/>
  <c r="S79" i="1"/>
  <c r="T79" i="1"/>
  <c r="U79" i="1"/>
  <c r="V79" i="1"/>
  <c r="W79" i="1"/>
  <c r="X79" i="1"/>
  <c r="Y79" i="1"/>
  <c r="Q80" i="1"/>
  <c r="R80" i="1"/>
  <c r="S80" i="1"/>
  <c r="U80" i="1"/>
  <c r="V80" i="1"/>
  <c r="W80" i="1"/>
  <c r="Y80" i="1"/>
  <c r="P81" i="1"/>
  <c r="I35" i="3" s="1"/>
  <c r="Q81" i="1"/>
  <c r="R81" i="1"/>
  <c r="S81" i="1"/>
  <c r="T81" i="1"/>
  <c r="U81" i="1"/>
  <c r="V81" i="1"/>
  <c r="W81" i="1"/>
  <c r="X81" i="1"/>
  <c r="Y81" i="1"/>
  <c r="P82" i="1"/>
  <c r="I36" i="3" s="1"/>
  <c r="Q82" i="1"/>
  <c r="R82" i="1"/>
  <c r="S82" i="1"/>
  <c r="T82" i="1"/>
  <c r="U82" i="1"/>
  <c r="V82" i="1"/>
  <c r="W82" i="1"/>
  <c r="X82" i="1"/>
  <c r="Y82" i="1"/>
  <c r="P83" i="1"/>
  <c r="I37" i="3" s="1"/>
  <c r="Q83" i="1"/>
  <c r="R83" i="1"/>
  <c r="S83" i="1"/>
  <c r="T83" i="1"/>
  <c r="U83" i="1"/>
  <c r="V83" i="1"/>
  <c r="W83" i="1"/>
  <c r="X83" i="1"/>
  <c r="Y83" i="1"/>
  <c r="Q84" i="1"/>
  <c r="R84" i="1"/>
  <c r="S84" i="1"/>
  <c r="U84" i="1"/>
  <c r="V84" i="1"/>
  <c r="W84" i="1"/>
  <c r="Y84" i="1"/>
  <c r="P85" i="1"/>
  <c r="I39" i="3" s="1"/>
  <c r="Q85" i="1"/>
  <c r="R85" i="1"/>
  <c r="S85" i="1"/>
  <c r="T85" i="1"/>
  <c r="U85" i="1"/>
  <c r="V85" i="1"/>
  <c r="W85" i="1"/>
  <c r="X85" i="1"/>
  <c r="Y85" i="1"/>
  <c r="P86" i="1"/>
  <c r="I40" i="3" s="1"/>
  <c r="Q86" i="1"/>
  <c r="R86" i="1"/>
  <c r="S86" i="1"/>
  <c r="T86" i="1"/>
  <c r="U86" i="1"/>
  <c r="V86" i="1"/>
  <c r="W86" i="1"/>
  <c r="X86" i="1"/>
  <c r="Y86" i="1"/>
  <c r="P87" i="1"/>
  <c r="Q87" i="1"/>
  <c r="R87" i="1"/>
  <c r="S87" i="1"/>
  <c r="T87" i="1"/>
  <c r="U87" i="1"/>
  <c r="V87" i="1"/>
  <c r="W87" i="1"/>
  <c r="X87" i="1"/>
  <c r="Y87" i="1"/>
  <c r="P88" i="1"/>
  <c r="Q88" i="1"/>
  <c r="R88" i="1"/>
  <c r="U88" i="1"/>
  <c r="V88" i="1"/>
  <c r="Y88" i="1"/>
  <c r="P89" i="1"/>
  <c r="I43" i="3" s="1"/>
  <c r="J43" i="3" s="1"/>
  <c r="Q89" i="1"/>
  <c r="R89" i="1"/>
  <c r="S89" i="1"/>
  <c r="T89" i="1"/>
  <c r="U89" i="1"/>
  <c r="V89" i="1"/>
  <c r="W89" i="1"/>
  <c r="X89" i="1"/>
  <c r="Y89" i="1"/>
  <c r="P90" i="1"/>
  <c r="I44" i="3" s="1"/>
  <c r="Q90" i="1"/>
  <c r="R90" i="1"/>
  <c r="S90" i="1"/>
  <c r="T90" i="1"/>
  <c r="U90" i="1"/>
  <c r="V90" i="1"/>
  <c r="W90" i="1"/>
  <c r="X90" i="1"/>
  <c r="Y90" i="1"/>
  <c r="P91" i="1"/>
  <c r="Q91" i="1"/>
  <c r="R91" i="1"/>
  <c r="S91" i="1"/>
  <c r="T91" i="1"/>
  <c r="U91" i="1"/>
  <c r="V91" i="1"/>
  <c r="W91" i="1"/>
  <c r="X91" i="1"/>
  <c r="Y91" i="1"/>
  <c r="Q72" i="1"/>
  <c r="R72" i="1"/>
  <c r="S72" i="1"/>
  <c r="T72" i="1"/>
  <c r="U72" i="1"/>
  <c r="V72" i="1"/>
  <c r="W72" i="1"/>
  <c r="X72" i="1"/>
  <c r="Y72" i="1"/>
  <c r="P72" i="1"/>
  <c r="I26" i="3" s="1"/>
  <c r="C19" i="3"/>
  <c r="C3" i="3"/>
  <c r="D3" i="3" s="1"/>
  <c r="F4" i="5"/>
  <c r="G4" i="5" s="1"/>
  <c r="H4" i="5" s="1"/>
  <c r="F5" i="5"/>
  <c r="G5" i="5" s="1"/>
  <c r="H5" i="5" s="1"/>
  <c r="F6" i="5"/>
  <c r="G6" i="5" s="1"/>
  <c r="H6" i="5" s="1"/>
  <c r="F3" i="5"/>
  <c r="G3" i="5" s="1"/>
  <c r="H3" i="5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26" i="2"/>
  <c r="M26" i="2" s="1"/>
  <c r="L4" i="2"/>
  <c r="M4" i="2" s="1"/>
  <c r="L5" i="2"/>
  <c r="M5" i="2" s="1"/>
  <c r="L6" i="2"/>
  <c r="M6" i="2" s="1"/>
  <c r="L8" i="2"/>
  <c r="M8" i="2" s="1"/>
  <c r="L9" i="2"/>
  <c r="M9" i="2" s="1"/>
  <c r="L10" i="2"/>
  <c r="M10" i="2" s="1"/>
  <c r="L12" i="2"/>
  <c r="M12" i="2" s="1"/>
  <c r="L13" i="2"/>
  <c r="M13" i="2" s="1"/>
  <c r="L14" i="2"/>
  <c r="M14" i="2" s="1"/>
  <c r="L16" i="2"/>
  <c r="M16" i="2" s="1"/>
  <c r="L17" i="2"/>
  <c r="M17" i="2" s="1"/>
  <c r="L18" i="2"/>
  <c r="M18" i="2" s="1"/>
  <c r="L20" i="2"/>
  <c r="M20" i="2" s="1"/>
  <c r="L21" i="2"/>
  <c r="M21" i="2" s="1"/>
  <c r="L22" i="2"/>
  <c r="M22" i="2" s="1"/>
  <c r="C3" i="2"/>
  <c r="H3" i="2"/>
  <c r="E4" i="5"/>
  <c r="E5" i="5"/>
  <c r="E6" i="5"/>
  <c r="E3" i="5"/>
  <c r="C68" i="3"/>
  <c r="D68" i="3" s="1"/>
  <c r="C67" i="3"/>
  <c r="D67" i="3" s="1"/>
  <c r="C66" i="3"/>
  <c r="D66" i="3" s="1"/>
  <c r="C64" i="3"/>
  <c r="D64" i="3" s="1"/>
  <c r="C63" i="3"/>
  <c r="D63" i="3" s="1"/>
  <c r="C62" i="3"/>
  <c r="D62" i="3" s="1"/>
  <c r="C60" i="3"/>
  <c r="D60" i="3" s="1"/>
  <c r="C59" i="3"/>
  <c r="D59" i="3" s="1"/>
  <c r="C58" i="3"/>
  <c r="D58" i="3" s="1"/>
  <c r="C56" i="3"/>
  <c r="D56" i="3" s="1"/>
  <c r="C55" i="3"/>
  <c r="D55" i="3" s="1"/>
  <c r="C54" i="3"/>
  <c r="D54" i="3" s="1"/>
  <c r="C52" i="3"/>
  <c r="D52" i="3" s="1"/>
  <c r="C51" i="3"/>
  <c r="D51" i="3" s="1"/>
  <c r="C50" i="3"/>
  <c r="D50" i="3" s="1"/>
  <c r="I22" i="3"/>
  <c r="J22" i="3" s="1"/>
  <c r="C22" i="3"/>
  <c r="I21" i="3"/>
  <c r="C21" i="3"/>
  <c r="I20" i="3"/>
  <c r="J20" i="3" s="1"/>
  <c r="C20" i="3"/>
  <c r="I18" i="3"/>
  <c r="C18" i="3"/>
  <c r="I17" i="3"/>
  <c r="J17" i="3" s="1"/>
  <c r="C17" i="3"/>
  <c r="I16" i="3"/>
  <c r="C16" i="3"/>
  <c r="I15" i="3"/>
  <c r="J15" i="3" s="1"/>
  <c r="I14" i="3"/>
  <c r="C14" i="3"/>
  <c r="I13" i="3"/>
  <c r="C13" i="3"/>
  <c r="I12" i="3"/>
  <c r="C12" i="3"/>
  <c r="I11" i="3"/>
  <c r="I10" i="3"/>
  <c r="J10" i="3" s="1"/>
  <c r="C10" i="3"/>
  <c r="I9" i="3"/>
  <c r="C9" i="3"/>
  <c r="I8" i="3"/>
  <c r="J8" i="3" s="1"/>
  <c r="C8" i="3"/>
  <c r="I6" i="3"/>
  <c r="C6" i="3"/>
  <c r="I5" i="3"/>
  <c r="C5" i="3"/>
  <c r="I4" i="3"/>
  <c r="C4" i="3"/>
  <c r="D4" i="3" s="1"/>
  <c r="I3" i="3"/>
  <c r="J3" i="3" s="1"/>
  <c r="H40" i="2"/>
  <c r="C40" i="2"/>
  <c r="D40" i="2" s="1"/>
  <c r="H39" i="2"/>
  <c r="C39" i="2"/>
  <c r="D39" i="2" s="1"/>
  <c r="H38" i="2"/>
  <c r="C38" i="2"/>
  <c r="D38" i="2" s="1"/>
  <c r="H37" i="2"/>
  <c r="C37" i="2"/>
  <c r="D37" i="2" s="1"/>
  <c r="H36" i="2"/>
  <c r="C36" i="2"/>
  <c r="D36" i="2" s="1"/>
  <c r="H35" i="2"/>
  <c r="C35" i="2"/>
  <c r="D35" i="2" s="1"/>
  <c r="H34" i="2"/>
  <c r="C34" i="2"/>
  <c r="D34" i="2" s="1"/>
  <c r="H33" i="2"/>
  <c r="C33" i="2"/>
  <c r="D33" i="2" s="1"/>
  <c r="H32" i="2"/>
  <c r="C32" i="2"/>
  <c r="D32" i="2" s="1"/>
  <c r="H31" i="2"/>
  <c r="C31" i="2"/>
  <c r="D31" i="2" s="1"/>
  <c r="H30" i="2"/>
  <c r="C30" i="2"/>
  <c r="D30" i="2" s="1"/>
  <c r="H29" i="2"/>
  <c r="C29" i="2"/>
  <c r="D29" i="2" s="1"/>
  <c r="H28" i="2"/>
  <c r="C28" i="2"/>
  <c r="D28" i="2" s="1"/>
  <c r="H27" i="2"/>
  <c r="C27" i="2"/>
  <c r="D27" i="2" s="1"/>
  <c r="H26" i="2"/>
  <c r="C26" i="2"/>
  <c r="D26" i="2" s="1"/>
  <c r="H22" i="2"/>
  <c r="C22" i="2"/>
  <c r="H21" i="2"/>
  <c r="C21" i="2"/>
  <c r="D21" i="2" s="1"/>
  <c r="H20" i="2"/>
  <c r="C20" i="2"/>
  <c r="H18" i="2"/>
  <c r="C18" i="2"/>
  <c r="H17" i="2"/>
  <c r="C17" i="2"/>
  <c r="H16" i="2"/>
  <c r="C16" i="2"/>
  <c r="H15" i="2"/>
  <c r="H14" i="2"/>
  <c r="J60" i="3" s="1"/>
  <c r="C14" i="2"/>
  <c r="H13" i="2"/>
  <c r="C13" i="2"/>
  <c r="H12" i="2"/>
  <c r="C12" i="2"/>
  <c r="D12" i="2" s="1"/>
  <c r="H11" i="2"/>
  <c r="H10" i="2"/>
  <c r="C10" i="2"/>
  <c r="H9" i="2"/>
  <c r="C9" i="2"/>
  <c r="H8" i="2"/>
  <c r="J54" i="3" s="1"/>
  <c r="C8" i="2"/>
  <c r="C7" i="2"/>
  <c r="H6" i="2"/>
  <c r="C6" i="2"/>
  <c r="H5" i="2"/>
  <c r="C5" i="2"/>
  <c r="H4" i="2"/>
  <c r="C4" i="2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I45" i="3"/>
  <c r="J45" i="3" s="1"/>
  <c r="I27" i="3"/>
  <c r="J62" i="3" l="1"/>
  <c r="P54" i="3"/>
  <c r="P66" i="3"/>
  <c r="P49" i="3"/>
  <c r="J59" i="3"/>
  <c r="P53" i="3"/>
  <c r="J64" i="3"/>
  <c r="N33" i="3"/>
  <c r="O33" i="3" s="1"/>
  <c r="J12" i="3"/>
  <c r="J14" i="3"/>
  <c r="J40" i="3"/>
  <c r="J31" i="3"/>
  <c r="N27" i="3"/>
  <c r="P27" i="3" s="1"/>
  <c r="P67" i="3"/>
  <c r="P59" i="3"/>
  <c r="P55" i="3"/>
  <c r="J53" i="3"/>
  <c r="N43" i="3"/>
  <c r="P43" i="3" s="1"/>
  <c r="N39" i="3"/>
  <c r="P39" i="3" s="1"/>
  <c r="P63" i="3"/>
  <c r="P50" i="3"/>
  <c r="J56" i="3"/>
  <c r="J61" i="3"/>
  <c r="J68" i="3"/>
  <c r="J52" i="3"/>
  <c r="N32" i="3"/>
  <c r="P32" i="3" s="1"/>
  <c r="J57" i="3"/>
  <c r="P62" i="3"/>
  <c r="N41" i="3"/>
  <c r="P41" i="3" s="1"/>
  <c r="J35" i="3"/>
  <c r="N31" i="3"/>
  <c r="P31" i="3" s="1"/>
  <c r="J66" i="3"/>
  <c r="J58" i="3"/>
  <c r="J50" i="3"/>
  <c r="N28" i="3"/>
  <c r="P28" i="3" s="1"/>
  <c r="J55" i="3"/>
  <c r="N37" i="3"/>
  <c r="P37" i="3" s="1"/>
  <c r="O67" i="3"/>
  <c r="O55" i="3"/>
  <c r="J27" i="3"/>
  <c r="N40" i="3"/>
  <c r="P40" i="3" s="1"/>
  <c r="J26" i="3"/>
  <c r="P17" i="3"/>
  <c r="P13" i="3"/>
  <c r="P9" i="3"/>
  <c r="J67" i="3"/>
  <c r="O59" i="3"/>
  <c r="J36" i="3"/>
  <c r="J51" i="3"/>
  <c r="N45" i="3"/>
  <c r="P45" i="3" s="1"/>
  <c r="N29" i="3"/>
  <c r="P29" i="3" s="1"/>
  <c r="N36" i="3"/>
  <c r="P36" i="3" s="1"/>
  <c r="J63" i="3"/>
  <c r="P51" i="3"/>
  <c r="J39" i="3"/>
  <c r="J4" i="3"/>
  <c r="J9" i="3"/>
  <c r="J16" i="3"/>
  <c r="J21" i="3"/>
  <c r="P3" i="3"/>
  <c r="P18" i="3"/>
  <c r="P10" i="3"/>
  <c r="P6" i="3"/>
  <c r="N44" i="3"/>
  <c r="P44" i="3" s="1"/>
  <c r="P68" i="3"/>
  <c r="P64" i="3"/>
  <c r="P60" i="3"/>
  <c r="P56" i="3"/>
  <c r="P52" i="3"/>
  <c r="J18" i="3"/>
  <c r="N35" i="3"/>
  <c r="P35" i="3" s="1"/>
  <c r="J5" i="3"/>
  <c r="J6" i="3"/>
  <c r="P20" i="3"/>
  <c r="P16" i="3"/>
  <c r="P12" i="3"/>
  <c r="P8" i="3"/>
  <c r="P4" i="3"/>
  <c r="N26" i="3"/>
  <c r="P26" i="3" s="1"/>
  <c r="N30" i="3"/>
  <c r="O30" i="3" s="1"/>
  <c r="J49" i="3"/>
  <c r="P58" i="3"/>
  <c r="J44" i="3"/>
  <c r="J28" i="3"/>
  <c r="J37" i="3"/>
  <c r="J11" i="3"/>
  <c r="J13" i="3"/>
  <c r="J32" i="3"/>
  <c r="P7" i="3"/>
  <c r="P22" i="3"/>
  <c r="I4" i="8"/>
  <c r="I3" i="8"/>
  <c r="J3" i="8" s="1"/>
  <c r="F14" i="5"/>
  <c r="F10" i="5"/>
  <c r="F17" i="5"/>
  <c r="C24" i="5"/>
  <c r="F35" i="5" s="1"/>
  <c r="C27" i="5"/>
  <c r="F38" i="5" s="1"/>
  <c r="C28" i="5"/>
  <c r="F39" i="5" s="1"/>
  <c r="C25" i="5"/>
  <c r="F36" i="5" s="1"/>
  <c r="C26" i="5"/>
  <c r="F37" i="5" s="1"/>
  <c r="O11" i="3"/>
  <c r="O22" i="3"/>
  <c r="O7" i="3"/>
  <c r="O3" i="3"/>
  <c r="O18" i="3"/>
  <c r="O10" i="3"/>
  <c r="O6" i="3"/>
  <c r="P14" i="3"/>
  <c r="O17" i="3"/>
  <c r="O9" i="3"/>
  <c r="P21" i="3"/>
  <c r="P5" i="3"/>
  <c r="O36" i="3"/>
  <c r="O32" i="3"/>
  <c r="O13" i="3"/>
  <c r="O20" i="3"/>
  <c r="O16" i="3"/>
  <c r="O12" i="3"/>
  <c r="O8" i="3"/>
  <c r="O4" i="3"/>
  <c r="O27" i="3"/>
  <c r="L19" i="2"/>
  <c r="M19" i="2" s="1"/>
  <c r="C19" i="2"/>
  <c r="H19" i="2"/>
  <c r="J65" i="3" s="1"/>
  <c r="C15" i="2"/>
  <c r="P15" i="3" s="1"/>
  <c r="C11" i="2"/>
  <c r="D11" i="2" s="1"/>
  <c r="L7" i="2"/>
  <c r="M7" i="2" s="1"/>
  <c r="C65" i="3"/>
  <c r="C61" i="3"/>
  <c r="C53" i="3"/>
  <c r="E59" i="3"/>
  <c r="E63" i="3"/>
  <c r="I19" i="3"/>
  <c r="C15" i="3"/>
  <c r="C11" i="3"/>
  <c r="D11" i="3" s="1"/>
  <c r="C7" i="3"/>
  <c r="E7" i="3" s="1"/>
  <c r="I7" i="3"/>
  <c r="J7" i="3" s="1"/>
  <c r="E57" i="3"/>
  <c r="C41" i="3"/>
  <c r="E41" i="3" s="1"/>
  <c r="E10" i="3"/>
  <c r="E3" i="3"/>
  <c r="U94" i="6"/>
  <c r="V94" i="6" s="1"/>
  <c r="D13" i="2"/>
  <c r="E49" i="3"/>
  <c r="E56" i="3"/>
  <c r="E52" i="3"/>
  <c r="E14" i="3"/>
  <c r="E67" i="3"/>
  <c r="D17" i="2"/>
  <c r="E28" i="6"/>
  <c r="F28" i="6" s="1"/>
  <c r="V28" i="6" s="1"/>
  <c r="D3" i="2"/>
  <c r="D7" i="2"/>
  <c r="I33" i="3"/>
  <c r="J33" i="3" s="1"/>
  <c r="C33" i="3"/>
  <c r="D19" i="3"/>
  <c r="C26" i="3"/>
  <c r="E60" i="3"/>
  <c r="C37" i="3"/>
  <c r="D37" i="3" s="1"/>
  <c r="E68" i="3"/>
  <c r="C45" i="3"/>
  <c r="D45" i="3" s="1"/>
  <c r="E30" i="6"/>
  <c r="E5" i="3"/>
  <c r="D5" i="3"/>
  <c r="E9" i="3"/>
  <c r="D9" i="3"/>
  <c r="E13" i="3"/>
  <c r="D13" i="3"/>
  <c r="E17" i="3"/>
  <c r="D17" i="3"/>
  <c r="E21" i="3"/>
  <c r="D21" i="3"/>
  <c r="E50" i="3"/>
  <c r="C27" i="3"/>
  <c r="D27" i="3" s="1"/>
  <c r="E51" i="3"/>
  <c r="C28" i="3"/>
  <c r="D28" i="3" s="1"/>
  <c r="D5" i="2"/>
  <c r="E54" i="3"/>
  <c r="C31" i="3"/>
  <c r="D31" i="3" s="1"/>
  <c r="E55" i="3"/>
  <c r="C32" i="3"/>
  <c r="D32" i="3" s="1"/>
  <c r="D9" i="2"/>
  <c r="D14" i="2"/>
  <c r="D16" i="2"/>
  <c r="E62" i="3"/>
  <c r="C39" i="3"/>
  <c r="D39" i="3" s="1"/>
  <c r="D22" i="2"/>
  <c r="E29" i="6"/>
  <c r="E4" i="3"/>
  <c r="D6" i="3"/>
  <c r="E6" i="3"/>
  <c r="D8" i="3"/>
  <c r="E8" i="3"/>
  <c r="D10" i="3"/>
  <c r="D12" i="3"/>
  <c r="E12" i="3"/>
  <c r="D14" i="3"/>
  <c r="D16" i="3"/>
  <c r="E16" i="3"/>
  <c r="D18" i="3"/>
  <c r="E18" i="3"/>
  <c r="D20" i="3"/>
  <c r="E20" i="3"/>
  <c r="E22" i="3"/>
  <c r="D22" i="3"/>
  <c r="I29" i="3"/>
  <c r="J29" i="3" s="1"/>
  <c r="C29" i="3"/>
  <c r="D29" i="3" s="1"/>
  <c r="I41" i="3"/>
  <c r="J41" i="3" s="1"/>
  <c r="K3" i="6"/>
  <c r="M3" i="6" s="1"/>
  <c r="D3" i="6"/>
  <c r="E3" i="6" s="1"/>
  <c r="I30" i="3"/>
  <c r="J30" i="3" s="1"/>
  <c r="K4" i="6"/>
  <c r="M4" i="6" s="1"/>
  <c r="D4" i="6"/>
  <c r="E4" i="6" s="1"/>
  <c r="I34" i="3"/>
  <c r="J34" i="3" s="1"/>
  <c r="K5" i="6"/>
  <c r="M5" i="6" s="1"/>
  <c r="D5" i="6"/>
  <c r="E5" i="6" s="1"/>
  <c r="I38" i="3"/>
  <c r="J38" i="3" s="1"/>
  <c r="K6" i="6"/>
  <c r="M6" i="6" s="1"/>
  <c r="D6" i="6"/>
  <c r="E6" i="6" s="1"/>
  <c r="I42" i="3"/>
  <c r="C43" i="3"/>
  <c r="D43" i="3" s="1"/>
  <c r="D4" i="2"/>
  <c r="D8" i="2"/>
  <c r="C30" i="3"/>
  <c r="D30" i="3" s="1"/>
  <c r="E64" i="3"/>
  <c r="U91" i="6"/>
  <c r="V91" i="6" s="1"/>
  <c r="C36" i="3"/>
  <c r="D6" i="2"/>
  <c r="D10" i="2"/>
  <c r="D18" i="2"/>
  <c r="D20" i="2"/>
  <c r="E27" i="6"/>
  <c r="U92" i="6"/>
  <c r="V92" i="6" s="1"/>
  <c r="C35" i="3"/>
  <c r="C40" i="3"/>
  <c r="C44" i="3"/>
  <c r="E58" i="3"/>
  <c r="E66" i="3"/>
  <c r="U93" i="6"/>
  <c r="V93" i="6" s="1"/>
  <c r="O39" i="3" l="1"/>
  <c r="O40" i="3"/>
  <c r="O43" i="3"/>
  <c r="O45" i="3"/>
  <c r="O41" i="3"/>
  <c r="O37" i="3"/>
  <c r="O31" i="3"/>
  <c r="O28" i="3"/>
  <c r="O29" i="3"/>
  <c r="O26" i="3"/>
  <c r="P33" i="3"/>
  <c r="P30" i="3"/>
  <c r="J42" i="3"/>
  <c r="J19" i="3"/>
  <c r="P57" i="3"/>
  <c r="N34" i="3"/>
  <c r="P61" i="3"/>
  <c r="N38" i="3"/>
  <c r="C34" i="3"/>
  <c r="D34" i="3" s="1"/>
  <c r="P65" i="3"/>
  <c r="P19" i="3"/>
  <c r="N42" i="3"/>
  <c r="O35" i="3"/>
  <c r="O44" i="3"/>
  <c r="P11" i="3"/>
  <c r="K3" i="8"/>
  <c r="C22" i="5"/>
  <c r="F33" i="5" s="1"/>
  <c r="C23" i="5"/>
  <c r="F34" i="5" s="1"/>
  <c r="C29" i="5"/>
  <c r="F40" i="5" s="1"/>
  <c r="E36" i="5"/>
  <c r="E38" i="5"/>
  <c r="E39" i="5"/>
  <c r="D24" i="5"/>
  <c r="D26" i="5"/>
  <c r="D28" i="5"/>
  <c r="D27" i="5"/>
  <c r="D53" i="3"/>
  <c r="E11" i="3"/>
  <c r="D61" i="3"/>
  <c r="D65" i="3"/>
  <c r="E53" i="3"/>
  <c r="E61" i="3"/>
  <c r="E65" i="3"/>
  <c r="D15" i="2"/>
  <c r="C38" i="3"/>
  <c r="D38" i="3" s="1"/>
  <c r="E15" i="3"/>
  <c r="D19" i="2"/>
  <c r="C42" i="3"/>
  <c r="D42" i="3" s="1"/>
  <c r="E19" i="3"/>
  <c r="D15" i="3"/>
  <c r="D7" i="3"/>
  <c r="D41" i="3"/>
  <c r="D25" i="5"/>
  <c r="D26" i="3"/>
  <c r="E26" i="3"/>
  <c r="D33" i="3"/>
  <c r="E33" i="3"/>
  <c r="N28" i="6"/>
  <c r="AB28" i="6" s="1"/>
  <c r="AC28" i="6" s="1"/>
  <c r="E30" i="3"/>
  <c r="E37" i="3"/>
  <c r="G10" i="6"/>
  <c r="E28" i="3"/>
  <c r="E39" i="3"/>
  <c r="E27" i="3"/>
  <c r="E29" i="3"/>
  <c r="G15" i="6"/>
  <c r="G21" i="6"/>
  <c r="G14" i="6"/>
  <c r="N29" i="6"/>
  <c r="F29" i="6"/>
  <c r="V29" i="6" s="1"/>
  <c r="F30" i="6"/>
  <c r="V30" i="6" s="1"/>
  <c r="N30" i="6"/>
  <c r="E40" i="3"/>
  <c r="D40" i="3"/>
  <c r="G22" i="6"/>
  <c r="G17" i="6"/>
  <c r="G16" i="6"/>
  <c r="E35" i="3"/>
  <c r="D35" i="3"/>
  <c r="N27" i="6"/>
  <c r="F27" i="6"/>
  <c r="V27" i="6" s="1"/>
  <c r="D36" i="3"/>
  <c r="E36" i="3"/>
  <c r="G11" i="6"/>
  <c r="G19" i="6"/>
  <c r="E45" i="3"/>
  <c r="E44" i="3"/>
  <c r="D44" i="3"/>
  <c r="E43" i="3"/>
  <c r="G20" i="6"/>
  <c r="G13" i="6"/>
  <c r="G12" i="6"/>
  <c r="E31" i="3"/>
  <c r="E32" i="3"/>
  <c r="I35" i="6"/>
  <c r="E34" i="3" l="1"/>
  <c r="P42" i="3"/>
  <c r="O42" i="3"/>
  <c r="P38" i="3"/>
  <c r="O38" i="3"/>
  <c r="P34" i="3"/>
  <c r="O34" i="3"/>
  <c r="L3" i="8"/>
  <c r="M3" i="8" s="1"/>
  <c r="O3" i="8" s="1"/>
  <c r="L4" i="8"/>
  <c r="D50" i="5"/>
  <c r="F50" i="5" s="1"/>
  <c r="D47" i="5"/>
  <c r="F47" i="5" s="1"/>
  <c r="D49" i="5"/>
  <c r="F49" i="5" s="1"/>
  <c r="D29" i="5"/>
  <c r="E28" i="5" s="1"/>
  <c r="E29" i="5" s="1"/>
  <c r="E35" i="5"/>
  <c r="E37" i="5"/>
  <c r="E33" i="5"/>
  <c r="E26" i="5"/>
  <c r="E27" i="5" s="1"/>
  <c r="E24" i="5"/>
  <c r="E25" i="5" s="1"/>
  <c r="E42" i="3"/>
  <c r="E38" i="3"/>
  <c r="P13" i="6"/>
  <c r="AB27" i="6"/>
  <c r="AC27" i="6" s="1"/>
  <c r="P17" i="6"/>
  <c r="I36" i="6"/>
  <c r="AB30" i="6"/>
  <c r="AC30" i="6" s="1"/>
  <c r="AB29" i="6"/>
  <c r="AC29" i="6" s="1"/>
  <c r="Q20" i="6"/>
  <c r="P12" i="6"/>
  <c r="P11" i="6"/>
  <c r="I37" i="6"/>
  <c r="Q21" i="6"/>
  <c r="P14" i="6"/>
  <c r="Q19" i="6"/>
  <c r="P10" i="6"/>
  <c r="I34" i="6"/>
  <c r="Q22" i="6"/>
  <c r="P16" i="6"/>
  <c r="P15" i="6"/>
  <c r="N4" i="8" l="1"/>
  <c r="M4" i="8"/>
  <c r="O4" i="8" s="1"/>
  <c r="N3" i="8"/>
  <c r="D48" i="5"/>
  <c r="F48" i="5" s="1"/>
  <c r="D46" i="5"/>
  <c r="F46" i="5" s="1"/>
  <c r="D44" i="5"/>
  <c r="F44" i="5" s="1"/>
  <c r="H39" i="5"/>
  <c r="I39" i="5" s="1"/>
  <c r="J39" i="5" s="1"/>
  <c r="E40" i="5"/>
  <c r="H37" i="5"/>
  <c r="H35" i="5"/>
  <c r="F26" i="5"/>
  <c r="H26" i="5" s="1"/>
  <c r="H33" i="5"/>
  <c r="I33" i="5" s="1"/>
  <c r="E34" i="5"/>
  <c r="F28" i="5"/>
  <c r="H28" i="5" s="1"/>
  <c r="C49" i="6"/>
  <c r="F27" i="5"/>
  <c r="F24" i="5"/>
  <c r="T110" i="6"/>
  <c r="C47" i="6"/>
  <c r="T109" i="6"/>
  <c r="C46" i="6"/>
  <c r="D35" i="6"/>
  <c r="T118" i="6"/>
  <c r="U99" i="6"/>
  <c r="T57" i="6"/>
  <c r="T56" i="6"/>
  <c r="T117" i="6"/>
  <c r="U98" i="6"/>
  <c r="D34" i="6"/>
  <c r="C45" i="6"/>
  <c r="T105" i="6"/>
  <c r="C42" i="6"/>
  <c r="T111" i="6"/>
  <c r="C48" i="6"/>
  <c r="U100" i="6"/>
  <c r="T119" i="6"/>
  <c r="T58" i="6"/>
  <c r="D36" i="6"/>
  <c r="T120" i="6"/>
  <c r="T59" i="6"/>
  <c r="D37" i="6"/>
  <c r="U101" i="6"/>
  <c r="T106" i="6"/>
  <c r="C43" i="6"/>
  <c r="T112" i="6"/>
  <c r="T108" i="6"/>
  <c r="T107" i="6"/>
  <c r="C44" i="6"/>
  <c r="H40" i="5" l="1"/>
  <c r="I40" i="5" s="1"/>
  <c r="D45" i="5"/>
  <c r="F45" i="5" s="1"/>
  <c r="D51" i="5"/>
  <c r="F51" i="5" s="1"/>
  <c r="H36" i="5"/>
  <c r="I36" i="5" s="1"/>
  <c r="I35" i="5"/>
  <c r="H38" i="5"/>
  <c r="I38" i="5" s="1"/>
  <c r="J38" i="5" s="1"/>
  <c r="I37" i="5"/>
  <c r="J37" i="5" s="1"/>
  <c r="G26" i="5"/>
  <c r="I26" i="5" s="1"/>
  <c r="J35" i="5"/>
  <c r="H34" i="5"/>
  <c r="I34" i="5" s="1"/>
  <c r="J33" i="5"/>
  <c r="G28" i="5"/>
  <c r="I28" i="5" s="1"/>
  <c r="F29" i="5"/>
  <c r="H29" i="5" s="1"/>
  <c r="J40" i="5"/>
  <c r="F25" i="5"/>
  <c r="H27" i="5"/>
  <c r="G27" i="5"/>
  <c r="I27" i="5" s="1"/>
  <c r="H24" i="5"/>
  <c r="G24" i="5"/>
  <c r="I24" i="5" s="1"/>
  <c r="U112" i="6"/>
  <c r="U110" i="6"/>
  <c r="U106" i="6"/>
  <c r="U111" i="6"/>
  <c r="F98" i="6" s="1"/>
  <c r="D46" i="6"/>
  <c r="F58" i="6" s="1"/>
  <c r="D44" i="6"/>
  <c r="F56" i="6" s="1"/>
  <c r="D42" i="6"/>
  <c r="F55" i="6" s="1"/>
  <c r="U109" i="6"/>
  <c r="F95" i="6" s="1"/>
  <c r="D45" i="6"/>
  <c r="D47" i="6"/>
  <c r="F54" i="6"/>
  <c r="U107" i="6"/>
  <c r="F94" i="6" s="1"/>
  <c r="U108" i="6"/>
  <c r="D43" i="6"/>
  <c r="D48" i="6"/>
  <c r="F61" i="6" s="1"/>
  <c r="U105" i="6"/>
  <c r="F92" i="6" s="1"/>
  <c r="D49" i="6"/>
  <c r="J34" i="5" l="1"/>
  <c r="G29" i="5"/>
  <c r="I29" i="5" s="1"/>
  <c r="H25" i="5"/>
  <c r="G25" i="5"/>
  <c r="I25" i="5" s="1"/>
  <c r="J36" i="5"/>
  <c r="F96" i="6"/>
  <c r="O96" i="6" s="1"/>
  <c r="O114" i="6" s="1"/>
  <c r="F57" i="6"/>
  <c r="O57" i="6" s="1"/>
  <c r="O75" i="6" s="1"/>
  <c r="F59" i="6"/>
  <c r="F66" i="6" s="1"/>
  <c r="F84" i="6" s="1"/>
  <c r="F93" i="6"/>
  <c r="O93" i="6" s="1"/>
  <c r="O61" i="6"/>
  <c r="O79" i="6" s="1"/>
  <c r="F79" i="6"/>
  <c r="O94" i="6"/>
  <c r="O112" i="6" s="1"/>
  <c r="F112" i="6"/>
  <c r="O55" i="6"/>
  <c r="O73" i="6" s="1"/>
  <c r="F73" i="6"/>
  <c r="F64" i="6"/>
  <c r="F82" i="6" s="1"/>
  <c r="O56" i="6"/>
  <c r="F74" i="6"/>
  <c r="O92" i="6"/>
  <c r="O110" i="6" s="1"/>
  <c r="F110" i="6"/>
  <c r="O98" i="6"/>
  <c r="O116" i="6" s="1"/>
  <c r="F116" i="6"/>
  <c r="O58" i="6"/>
  <c r="F76" i="6"/>
  <c r="O54" i="6"/>
  <c r="F72" i="6"/>
  <c r="F91" i="6"/>
  <c r="F60" i="6"/>
  <c r="F97" i="6"/>
  <c r="O95" i="6"/>
  <c r="F113" i="6"/>
  <c r="F65" i="6" l="1"/>
  <c r="F83" i="6" s="1"/>
  <c r="O59" i="6"/>
  <c r="O77" i="6" s="1"/>
  <c r="F114" i="6"/>
  <c r="F103" i="6"/>
  <c r="F121" i="6" s="1"/>
  <c r="F77" i="6"/>
  <c r="F75" i="6"/>
  <c r="F102" i="6"/>
  <c r="F120" i="6" s="1"/>
  <c r="F111" i="6"/>
  <c r="O60" i="6"/>
  <c r="F78" i="6"/>
  <c r="F67" i="6"/>
  <c r="F85" i="6" s="1"/>
  <c r="O91" i="6"/>
  <c r="F109" i="6"/>
  <c r="F101" i="6"/>
  <c r="F119" i="6" s="1"/>
  <c r="O76" i="6"/>
  <c r="O74" i="6"/>
  <c r="O65" i="6"/>
  <c r="O83" i="6" s="1"/>
  <c r="O113" i="6"/>
  <c r="O103" i="6"/>
  <c r="O121" i="6" s="1"/>
  <c r="O97" i="6"/>
  <c r="F115" i="6"/>
  <c r="F104" i="6"/>
  <c r="F122" i="6" s="1"/>
  <c r="O72" i="6"/>
  <c r="O64" i="6"/>
  <c r="O82" i="6" s="1"/>
  <c r="O111" i="6"/>
  <c r="O102" i="6"/>
  <c r="O120" i="6" s="1"/>
  <c r="O66" i="6" l="1"/>
  <c r="O84" i="6" s="1"/>
  <c r="O115" i="6"/>
  <c r="O104" i="6"/>
  <c r="O122" i="6" s="1"/>
  <c r="O109" i="6"/>
  <c r="O101" i="6"/>
  <c r="O119" i="6" s="1"/>
  <c r="O78" i="6"/>
  <c r="O67" i="6"/>
  <c r="O85" i="6" s="1"/>
  <c r="D22" i="5"/>
  <c r="D23" i="5"/>
  <c r="E22" i="5" l="1"/>
  <c r="E23" i="5" s="1"/>
  <c r="F23" i="5" s="1"/>
  <c r="H22" i="5" l="1"/>
  <c r="G22" i="5" l="1"/>
  <c r="I22" i="5" s="1"/>
  <c r="G23" i="5"/>
  <c r="I23" i="5" s="1"/>
  <c r="H23" i="5"/>
  <c r="G50" i="5"/>
  <c r="H50" i="5" s="1"/>
  <c r="G46" i="5"/>
  <c r="G48" i="5"/>
  <c r="H48" i="5" s="1"/>
  <c r="G44" i="5"/>
  <c r="H44" i="5" s="1"/>
  <c r="H46" i="5" l="1"/>
  <c r="I46" i="5" s="1"/>
  <c r="G47" i="5"/>
  <c r="G49" i="5"/>
  <c r="I48" i="5"/>
  <c r="G45" i="5"/>
  <c r="I44" i="5"/>
  <c r="G51" i="5"/>
  <c r="I50" i="5"/>
  <c r="H47" i="5" l="1"/>
  <c r="I47" i="5" s="1"/>
  <c r="H51" i="5"/>
  <c r="I51" i="5" s="1"/>
  <c r="H49" i="5"/>
  <c r="I49" i="5" s="1"/>
  <c r="H45" i="5"/>
  <c r="I45" i="5" s="1"/>
</calcChain>
</file>

<file path=xl/sharedStrings.xml><?xml version="1.0" encoding="utf-8"?>
<sst xmlns="http://schemas.openxmlformats.org/spreadsheetml/2006/main" count="1401" uniqueCount="230">
  <si>
    <t>PAZIENTI - ARRIVI</t>
  </si>
  <si>
    <t>ORGANI - ARRIVI</t>
  </si>
  <si>
    <t>ABO</t>
  </si>
  <si>
    <t>Priorità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</si>
  <si>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</si>
  <si>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</si>
  <si>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</si>
  <si>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</si>
  <si>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</si>
  <si>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</si>
  <si>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</si>
  <si>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</si>
  <si>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</si>
  <si>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</si>
  <si>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Donor type</t>
  </si>
  <si>
    <t>All ABO</t>
  </si>
  <si>
    <t>All Types</t>
  </si>
  <si>
    <t>All Donor Types</t>
  </si>
  <si>
    <t>Critical</t>
  </si>
  <si>
    <t>Deceased Donor</t>
  </si>
  <si>
    <t>Normal</t>
  </si>
  <si>
    <t>Living Donor</t>
  </si>
  <si>
    <t>Low</t>
  </si>
  <si>
    <t>O</t>
  </si>
  <si>
    <t>A</t>
  </si>
  <si>
    <t>B</t>
  </si>
  <si>
    <t>AB</t>
  </si>
  <si>
    <t>PAZIENTI - DECESSI</t>
  </si>
  <si>
    <t>PAZIENTI - ABBANDONI (TOT)</t>
  </si>
  <si>
    <t>Priority</t>
  </si>
  <si>
    <t>TRAPIANTI</t>
  </si>
  <si>
    <t>PAZIENTI - ABBANDONI</t>
  </si>
  <si>
    <t>Rigetto</t>
  </si>
  <si>
    <t>Years PT</t>
  </si>
  <si>
    <t>No rigetto</t>
  </si>
  <si>
    <t>P(successo)</t>
  </si>
  <si>
    <t>P(Rigetto)</t>
  </si>
  <si>
    <t>PAZIENTI – ARRIVI – 2019</t>
  </si>
  <si>
    <t>p/giorno</t>
  </si>
  <si>
    <t>ORGANI – ARRIVI – 2019</t>
  </si>
  <si>
    <t>Tipo</t>
  </si>
  <si>
    <t>o/giorno</t>
  </si>
  <si>
    <t>PAZIENTI – DECESSI -2019</t>
  </si>
  <si>
    <t>Probabilità</t>
  </si>
  <si>
    <t>d/giorno</t>
  </si>
  <si>
    <t>PAZIENTI – ABBANDONI -2019</t>
  </si>
  <si>
    <t>E(S)</t>
  </si>
  <si>
    <t>Utilizzazione</t>
  </si>
  <si>
    <t>E(Tq)</t>
  </si>
  <si>
    <t>E(Ts)</t>
  </si>
  <si>
    <t>E(Nq)</t>
  </si>
  <si>
    <t>E(Ns)</t>
  </si>
  <si>
    <t>Tasso di arrivo (tot)</t>
  </si>
  <si>
    <t>Tasso di arrivo (eff)</t>
  </si>
  <si>
    <t>Tasso di arrivo</t>
  </si>
  <si>
    <t>K</t>
  </si>
  <si>
    <t>Tot</t>
  </si>
  <si>
    <t>All</t>
  </si>
  <si>
    <t>Deceased</t>
  </si>
  <si>
    <t>Living</t>
  </si>
  <si>
    <t>Activation center</t>
  </si>
  <si>
    <t>Probabilità di morte</t>
  </si>
  <si>
    <t>Probabilità di renege</t>
  </si>
  <si>
    <t>Waiting List</t>
  </si>
  <si>
    <t>Organ Bank</t>
  </si>
  <si>
    <t>PAZIENTI – DECESSI – PROBABILITÀ</t>
  </si>
  <si>
    <t>PAZIENTI – USCITE – PROBABILITÀ</t>
  </si>
  <si>
    <t>BT</t>
  </si>
  <si>
    <t>FORMULA</t>
  </si>
  <si>
    <t>P_R</t>
  </si>
  <si>
    <t>P_APPR</t>
  </si>
  <si>
    <t>P</t>
  </si>
  <si>
    <t>INC</t>
  </si>
  <si>
    <t>(decesso)/(arrivo+uscita)</t>
  </si>
  <si>
    <t>(uscita)/(arrivo+decesso)</t>
  </si>
  <si>
    <t>TASSI EFFETTIVI LISTA ATTESA</t>
  </si>
  <si>
    <t>TASSI DI MATCHING – (TASSO AL TRAPIANTO) CON PRIOR</t>
  </si>
  <si>
    <t>CRITICO</t>
  </si>
  <si>
    <t>(arrivo,C,O)*(1-p_uscita,O-p_decesso,O)</t>
  </si>
  <si>
    <t>tasso_effettivo_O,C</t>
  </si>
  <si>
    <t>NORMALE</t>
  </si>
  <si>
    <t>(arrivo,N,O)*(1-p_uscita,O-p_decesso,O)</t>
  </si>
  <si>
    <t>tasso_effettivo_O,N+tasso_effettivo_O,I</t>
  </si>
  <si>
    <t>(arrivo,C,A)*(1-p_uscita,A-p_decesso,A)</t>
  </si>
  <si>
    <t>tasso_effettivo_A,C</t>
  </si>
  <si>
    <t>(arrivo,N,A)*(1-p_uscita,A-p_decesso,A)</t>
  </si>
  <si>
    <t>tasso_effettivo_A,N+tasso_effettivo_A,I</t>
  </si>
  <si>
    <t>(arrivo,C,B)*(1-p_uscita,B-p_decesso,B)</t>
  </si>
  <si>
    <t>tasso_effettivo_B,C</t>
  </si>
  <si>
    <t>(arrivo,N,B)*(1-p_uscita,B-p_decesso,B)</t>
  </si>
  <si>
    <t>tasso_effettivo_B,N+tasso_effettivo_B,I</t>
  </si>
  <si>
    <t xml:space="preserve">CRITICO </t>
  </si>
  <si>
    <t>(arrivo,C,AB)*(1-p_uscita,AB-p_decesso,AB)</t>
  </si>
  <si>
    <t>tasso_effettivo_AB,C</t>
  </si>
  <si>
    <t>(arrivo,N,AB)*(1-p_uscita,AB-p_decesso,AB)</t>
  </si>
  <si>
    <t>tasso_effettivo_AB,N+tasso_effettivo_AB,I</t>
  </si>
  <si>
    <t>INATTIVI</t>
  </si>
  <si>
    <t>TASSI DI MATCHING – (TASSO AL TRAPIANTO)</t>
  </si>
  <si>
    <t>INATTIVO</t>
  </si>
  <si>
    <t>(arrivo,I,O)*(1-p_uscita,O-p_decesso,O)</t>
  </si>
  <si>
    <t>tasso_effettivo_O,C+tasso_effettivo_O,N+tasso_effettivo_O,I</t>
  </si>
  <si>
    <t>(arrivo,I,A)*(1-p_uscita,A-p_decesso,A)</t>
  </si>
  <si>
    <t>tasso_effettivo_A,C+tasso_effettivo_A,N+tasso_effettivo_A,I</t>
  </si>
  <si>
    <t>(arrivo,I,B)*(1-p_uscita,B-p_decesso,B)</t>
  </si>
  <si>
    <t>tasso_effettivo_B,C+tasso_effettivo_B,N+tasso_effettivo_B,I</t>
  </si>
  <si>
    <t>(arrivo,I,AB)*(1-p_uscita,AB-p_decesso,AB)</t>
  </si>
  <si>
    <t>tasso_effettivo_AB,C+tasso_effettivo_AB,N+tasso_effettivo_AB,I</t>
  </si>
  <si>
    <t>PROBABILITÀ H2 – SERVIZIO ORGANI</t>
  </si>
  <si>
    <t>TEMPO DI SERVIZIO H2 - STADIO 1</t>
  </si>
  <si>
    <t>TASSO DI SERVIZIO H2 – STADIO 2</t>
  </si>
  <si>
    <t>TASSO DI SERVIZIO H2</t>
  </si>
  <si>
    <t>1-P</t>
  </si>
  <si>
    <t>E(S1)</t>
  </si>
  <si>
    <t>E(S2)</t>
  </si>
  <si>
    <t>MU</t>
  </si>
  <si>
    <t>(donatori viventi_O)/(donatori totali_O)</t>
  </si>
  <si>
    <t>1/(2*P*tasso_donatore_vivente_O)</t>
  </si>
  <si>
    <t>1/(2*(1-P)*tasso_donatore_morto_O)</t>
  </si>
  <si>
    <t>P*E(s1)+(1-P)*E(s2)</t>
  </si>
  <si>
    <t>(donatori viventi_A)/(donatori totali_A)</t>
  </si>
  <si>
    <t>1/(2*P*tasso_donatore_vivente_A)</t>
  </si>
  <si>
    <t>1/(2*(1-P)*tasso_donatore_morto_A)</t>
  </si>
  <si>
    <t>(donatori viventi_B)/(donatori totali_B)</t>
  </si>
  <si>
    <t>1/(2*P*tasso_donatore_vivente_B)</t>
  </si>
  <si>
    <t>1/(2*(1-P)*tasso_donatore_morto_B)</t>
  </si>
  <si>
    <t>(donatori viventi_AB)/(donatori totali_AB)</t>
  </si>
  <si>
    <t>1/(2*P*tasso_donatore_vivente_AB)</t>
  </si>
  <si>
    <t>1/(2*(1-P)*tasso_donatore_morto_AB)</t>
  </si>
  <si>
    <t>UTILIZZAZIONE</t>
  </si>
  <si>
    <t>G(P)</t>
  </si>
  <si>
    <t>tasso_match_O*E(S)</t>
  </si>
  <si>
    <t>1/(2*P*(1-P))-1</t>
  </si>
  <si>
    <t>tasso_match_A*E(S)</t>
  </si>
  <si>
    <t>tasso_match_B*E(S)</t>
  </si>
  <si>
    <t>tasso_match_AB*E(S)</t>
  </si>
  <si>
    <t>UTILIZZAZIONE – SINGOLA CODA PRIORITÀ</t>
  </si>
  <si>
    <t>PRIORITÀ</t>
  </si>
  <si>
    <t>P1-P2</t>
  </si>
  <si>
    <t>RO1-RO2</t>
  </si>
  <si>
    <t>CRITICO (1)</t>
  </si>
  <si>
    <t>NORMALE (2)</t>
  </si>
  <si>
    <t>ASSUMO SERVIZIO ORGANI IPER-ESPONENZIALE CON I DUE STADI DI SERVIZIO</t>
  </si>
  <si>
    <t>TEMPO DI ATTESA IN CODA – LOCALE</t>
  </si>
  <si>
    <t>TEMPO DI RISPOSTA – LOCALE</t>
  </si>
  <si>
    <t>PRIORITA</t>
  </si>
  <si>
    <t>E(TQ)</t>
  </si>
  <si>
    <t>E(TS)</t>
  </si>
  <si>
    <t>RO*E(S)*(1+G(P))/2*(1-RO1)</t>
  </si>
  <si>
    <t>E(TQ1)+E(S)</t>
  </si>
  <si>
    <t>RO*E(S)*(1+G(P))/2*(1-RO1)(1-RO)</t>
  </si>
  <si>
    <t>E(TQ2)+E(S)</t>
  </si>
  <si>
    <t>CODE BILANCIATE</t>
  </si>
  <si>
    <t>TEMPO DI ATTESA – GLOBALE</t>
  </si>
  <si>
    <t>TEMPO DI RISPOSTA – GLOBALE</t>
  </si>
  <si>
    <t>P1*E(TQ1)+P2*E(TQ2)</t>
  </si>
  <si>
    <t>P1*E(TS1)+P2*E(TS2)</t>
  </si>
  <si>
    <t>NUMERO MEDIO IN CODA – LOCALE</t>
  </si>
  <si>
    <t>NUMERO MEDIO IN NODO – LOCALE</t>
  </si>
  <si>
    <t>E(NQ)</t>
  </si>
  <si>
    <t>E(NS)</t>
  </si>
  <si>
    <t>tasso_effettivo_O,C*E(TQ1)</t>
  </si>
  <si>
    <t>tasso_effettivo_O,C*E(TS1)</t>
  </si>
  <si>
    <t>tasso_effettivo_O,N*E(TQ2)</t>
  </si>
  <si>
    <t>tasso_effettivo_O,N*E(TS2)</t>
  </si>
  <si>
    <t>tasso_effettivo_A,C*E(TQ1)</t>
  </si>
  <si>
    <t>tasso_effettivo_A,C*E(TS1)</t>
  </si>
  <si>
    <t>tasso_effettivo_A,N*E(TQ2)</t>
  </si>
  <si>
    <t>tasso_effettivo_A,N*E(TS2)</t>
  </si>
  <si>
    <t>tasso_effettivo_B,C*E(TQ1)</t>
  </si>
  <si>
    <t>tasso_effettivo_B,C*E(TS1)</t>
  </si>
  <si>
    <t>tasso_effettivo_B,N*E(TQ2)</t>
  </si>
  <si>
    <t>tasso_effettivo_B,N*E(TS2)</t>
  </si>
  <si>
    <t>tasso_effettivo_AB,C*E(TQ1)</t>
  </si>
  <si>
    <t>tasso_effettivo_AB,C*E(TS1)</t>
  </si>
  <si>
    <t>tasso_effettivo_AB,N*E(TQ2)</t>
  </si>
  <si>
    <t>tasso_effettivo_AB,N*E(TS2)</t>
  </si>
  <si>
    <t>NUMERO MEDIO IN CODA – GLOBALE</t>
  </si>
  <si>
    <t>NUMERO MEDIO IN NODO – GLOBALE</t>
  </si>
  <si>
    <t>tasso_effettivo_O*E(TQ)</t>
  </si>
  <si>
    <t>tasso_effettivo_O*E(TS)</t>
  </si>
  <si>
    <t>tasso_effettivo_A*E(TQ)</t>
  </si>
  <si>
    <t>tasso_effettivo_A*E(TS)</t>
  </si>
  <si>
    <t>tasso_effettivo_B*E(TQ)</t>
  </si>
  <si>
    <t>tasso_effettivo_B*E(TS)</t>
  </si>
  <si>
    <t>tasso_effettivo_AB*E(TQ)</t>
  </si>
  <si>
    <t>tasso_effettivo_AB*E(TS)</t>
  </si>
  <si>
    <t>ASSUMO SERVIZIO ORGANI ESPONENZIALE CUMULANDO IL SERVIZIO CON I DUE TIPI DI DONATORI</t>
  </si>
  <si>
    <t>TASSO DI SERVIZIO M</t>
  </si>
  <si>
    <t>RO*E(S)/(1-RO1)</t>
  </si>
  <si>
    <t>1/(tasso_donatori_O)</t>
  </si>
  <si>
    <t>RO*E(S)/(1-RO1)*(1-RO)</t>
  </si>
  <si>
    <t>1/(tasso_donatori_A)</t>
  </si>
  <si>
    <t>1/(tasso_donatori_B)</t>
  </si>
  <si>
    <t>1/(tasso_donatori_AB)</t>
  </si>
  <si>
    <t>Tasso di attivazione</t>
  </si>
  <si>
    <t>PAZIENTI - ARRIVI - (2014-2019)</t>
  </si>
  <si>
    <t>p/anno</t>
  </si>
  <si>
    <t>ORGANI - ARRIVI - (2014-2019)</t>
  </si>
  <si>
    <t>o/anno</t>
  </si>
  <si>
    <t>PAZIENTI - DECESSI - (2014-2019)</t>
  </si>
  <si>
    <t>d/anno</t>
  </si>
  <si>
    <t>PAZIENTI - ABBANDONI - (2014-2019)</t>
  </si>
  <si>
    <t>PAZIENTI - TRAPIANTI - (2014-2019)</t>
  </si>
  <si>
    <t>r/anno</t>
  </si>
  <si>
    <t>r/giorno</t>
  </si>
  <si>
    <t>t/anno</t>
  </si>
  <si>
    <t>t/giorno</t>
  </si>
  <si>
    <t>PAZIENTI - ARRIVI - (2010-2019)</t>
  </si>
  <si>
    <t>Tasso di arrivo (organi/giorno)</t>
  </si>
  <si>
    <t>ORGANI - ARRIVI - (2010-2019)</t>
  </si>
  <si>
    <t>PAZIENTI - DECESSI - (2010-2019)</t>
  </si>
  <si>
    <t>PAZIENTI - ABBANDONI - (2010-2019)</t>
  </si>
  <si>
    <t>PAZIENTI - TRAPIANTI - 2019</t>
  </si>
  <si>
    <t>Matching</t>
  </si>
  <si>
    <t>max(o_IAT, p_IAT)</t>
  </si>
  <si>
    <t>N</t>
  </si>
  <si>
    <t>Ns</t>
  </si>
  <si>
    <t>Nq</t>
  </si>
  <si>
    <t>ρ(k)</t>
  </si>
  <si>
    <t>ρ</t>
  </si>
  <si>
    <t>Matching after 10 years - no more arrivals</t>
  </si>
  <si>
    <t>Y_excess</t>
  </si>
  <si>
    <t>Node 0</t>
  </si>
  <si>
    <t>λ</t>
  </si>
  <si>
    <t>p_loss</t>
  </si>
  <si>
    <t>λ'</t>
  </si>
  <si>
    <t>μ</t>
  </si>
  <si>
    <t>ρ'</t>
  </si>
  <si>
    <t>Matching per day during 10 years</t>
  </si>
  <si>
    <t>PAZIENTI - ARRIVI (SENZA RIGETTO)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</si>
</sst>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000"/>
    <numFmt numFmtId="167" formatCode="#,##0.000000"/>
    <numFmt numFmtId="168" formatCode="0.000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E6E905"/>
      </patternFill>
    </fill>
    <fill>
      <patternFill patternType="solid">
        <fgColor rgb="FF92D050"/>
        <bgColor rgb="FF81D41A"/>
      </patternFill>
    </fill>
    <fill>
      <patternFill patternType="solid">
        <fgColor rgb="FFD0CECE"/>
        <bgColor rgb="FFC5E0B4"/>
      </patternFill>
    </fill>
    <fill>
      <patternFill patternType="solid">
        <fgColor rgb="FFF4B183"/>
        <bgColor rgb="FFFFA6A6"/>
      </patternFill>
    </fill>
    <fill>
      <patternFill patternType="solid">
        <fgColor rgb="FFC5E0B4"/>
        <bgColor rgb="FFD0CECE"/>
      </patternFill>
    </fill>
    <fill>
      <patternFill patternType="solid">
        <fgColor rgb="FFE2F0D9"/>
        <bgColor rgb="FFDAE3F3"/>
      </patternFill>
    </fill>
    <fill>
      <patternFill patternType="solid">
        <fgColor rgb="FFB4C7E7"/>
        <bgColor rgb="FFD0CECE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7D1D5"/>
      </patternFill>
    </fill>
    <fill>
      <patternFill patternType="solid">
        <fgColor rgb="FFFF8000"/>
        <bgColor rgb="FFFF6600"/>
      </patternFill>
    </fill>
    <fill>
      <patternFill patternType="solid">
        <fgColor rgb="FFEC9BA4"/>
        <bgColor rgb="FFFFA6A6"/>
      </patternFill>
    </fill>
    <fill>
      <patternFill patternType="solid">
        <fgColor rgb="FF729FCF"/>
        <bgColor rgb="FF8FAADC"/>
      </patternFill>
    </fill>
    <fill>
      <patternFill patternType="solid">
        <fgColor rgb="FFFFA6A6"/>
        <bgColor rgb="FFEC9BA4"/>
      </patternFill>
    </fill>
    <fill>
      <patternFill patternType="solid">
        <fgColor rgb="FFF7D1D5"/>
        <bgColor rgb="FFF8CBAD"/>
      </patternFill>
    </fill>
    <fill>
      <patternFill patternType="solid">
        <fgColor rgb="FFE6E905"/>
        <bgColor rgb="FFFFFF00"/>
      </patternFill>
    </fill>
    <fill>
      <patternFill patternType="solid">
        <fgColor rgb="FF81D41A"/>
        <bgColor rgb="FF92D050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2" xfId="0" applyFont="1" applyBorder="1" applyAlignment="1">
      <alignment horizontal="center"/>
    </xf>
    <xf numFmtId="166" fontId="0" fillId="0" borderId="0" xfId="0" applyNumberFormat="1"/>
    <xf numFmtId="168" fontId="0" fillId="0" borderId="0" xfId="0" applyNumberFormat="1"/>
    <xf numFmtId="0" fontId="1" fillId="5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165" fontId="0" fillId="0" borderId="6" xfId="0" applyNumberFormat="1" applyBorder="1"/>
    <xf numFmtId="0" fontId="1" fillId="6" borderId="6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4" xfId="0" applyBorder="1"/>
    <xf numFmtId="0" fontId="4" fillId="8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5" fillId="0" borderId="0" xfId="0" applyFont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" fontId="0" fillId="0" borderId="12" xfId="0" applyNumberFormat="1" applyBorder="1"/>
    <xf numFmtId="1" fontId="0" fillId="0" borderId="20" xfId="0" applyNumberFormat="1" applyBorder="1"/>
    <xf numFmtId="1" fontId="0" fillId="0" borderId="13" xfId="0" applyNumberFormat="1" applyBorder="1"/>
    <xf numFmtId="1" fontId="0" fillId="0" borderId="2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21" xfId="0" applyNumberFormat="1" applyBorder="1"/>
    <xf numFmtId="1" fontId="0" fillId="0" borderId="16" xfId="0" applyNumberFormat="1" applyBorder="1"/>
    <xf numFmtId="0" fontId="0" fillId="0" borderId="21" xfId="0" applyBorder="1"/>
    <xf numFmtId="2" fontId="0" fillId="0" borderId="14" xfId="0" applyNumberFormat="1" applyBorder="1"/>
    <xf numFmtId="2" fontId="0" fillId="0" borderId="21" xfId="0" applyNumberFormat="1" applyBorder="1"/>
    <xf numFmtId="2" fontId="0" fillId="0" borderId="16" xfId="0" applyNumberFormat="1" applyBorder="1"/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4" fontId="0" fillId="0" borderId="14" xfId="0" applyNumberFormat="1" applyBorder="1"/>
    <xf numFmtId="164" fontId="0" fillId="0" borderId="16" xfId="0" applyNumberFormat="1" applyBorder="1"/>
    <xf numFmtId="0" fontId="2" fillId="0" borderId="1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4" fontId="0" fillId="0" borderId="21" xfId="0" applyNumberFormat="1" applyBorder="1"/>
    <xf numFmtId="164" fontId="6" fillId="0" borderId="14" xfId="0" applyNumberFormat="1" applyFon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2" xfId="0" applyNumberFormat="1" applyBorder="1"/>
    <xf numFmtId="164" fontId="0" fillId="0" borderId="15" xfId="0" applyNumberFormat="1" applyBorder="1"/>
    <xf numFmtId="0" fontId="0" fillId="10" borderId="3" xfId="0" applyFill="1" applyBorder="1"/>
    <xf numFmtId="0" fontId="0" fillId="10" borderId="5" xfId="0" applyFill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12" xfId="0" applyBorder="1"/>
    <xf numFmtId="0" fontId="0" fillId="0" borderId="20" xfId="0" applyBorder="1"/>
    <xf numFmtId="0" fontId="0" fillId="0" borderId="13" xfId="0" applyBorder="1"/>
    <xf numFmtId="1" fontId="0" fillId="0" borderId="0" xfId="0" applyNumberFormat="1"/>
    <xf numFmtId="0" fontId="3" fillId="5" borderId="1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167" fontId="0" fillId="0" borderId="2" xfId="0" applyNumberFormat="1" applyBorder="1"/>
    <xf numFmtId="167" fontId="0" fillId="0" borderId="15" xfId="0" applyNumberFormat="1" applyBorder="1"/>
    <xf numFmtId="0" fontId="2" fillId="0" borderId="6" xfId="0" applyFont="1" applyBorder="1" applyAlignment="1">
      <alignment horizontal="center"/>
    </xf>
    <xf numFmtId="164" fontId="0" fillId="0" borderId="25" xfId="0" applyNumberFormat="1" applyBorder="1"/>
    <xf numFmtId="164" fontId="0" fillId="0" borderId="20" xfId="0" applyNumberFormat="1" applyBorder="1"/>
    <xf numFmtId="0" fontId="0" fillId="10" borderId="7" xfId="0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2" fillId="0" borderId="0" xfId="0" applyFont="1"/>
    <xf numFmtId="0" fontId="1" fillId="5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5" borderId="17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19" xfId="0" applyBorder="1"/>
    <xf numFmtId="0" fontId="0" fillId="0" borderId="18" xfId="0" applyBorder="1"/>
    <xf numFmtId="165" fontId="1" fillId="2" borderId="7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" fillId="11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7D1D5"/>
      <rgbColor rgb="FFDAE3F3"/>
      <rgbColor rgb="FF660066"/>
      <rgbColor rgb="FFEC9BA4"/>
      <rgbColor rgb="FF0066CC"/>
      <rgbColor rgb="FFB4C7E7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2D050"/>
      <rgbColor rgb="FFFFA6A6"/>
      <rgbColor rgb="FFCC99FF"/>
      <rgbColor rgb="FFF8CBAD"/>
      <rgbColor rgb="FF3366FF"/>
      <rgbColor rgb="FF33CCCC"/>
      <rgbColor rgb="FF81D41A"/>
      <rgbColor rgb="FFF4B183"/>
      <rgbColor rgb="FFFF8000"/>
      <rgbColor rgb="FFFF6600"/>
      <rgbColor rgb="FF666699"/>
      <rgbColor rgb="FF729FC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9"/>
  <sheetViews>
    <sheetView tabSelected="1" topLeftCell="A73" zoomScaleNormal="100" workbookViewId="0">
      <selection activeCell="O92" sqref="O92"/>
    </sheetView>
  </sheetViews>
  <sheetFormatPr defaultColWidth="9.140625" defaultRowHeight="15" x14ac:dyDescent="0.25"/>
  <cols>
    <col min="1" max="1" width="8.42578125" customWidth="1"/>
    <col min="2" max="2" width="10.42578125" customWidth="1"/>
    <col min="3" max="3" width="10.140625" customWidth="1"/>
    <col min="4" max="4" width="9.28515625" customWidth="1"/>
    <col min="5" max="5" width="10.28515625" customWidth="1"/>
    <col min="6" max="6" width="10.140625" customWidth="1"/>
    <col min="15" max="15" width="16.5703125" customWidth="1"/>
  </cols>
  <sheetData>
    <row r="1" spans="1:25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N1" s="107" t="s">
        <v>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</row>
    <row r="2" spans="1:25" x14ac:dyDescent="0.25">
      <c r="A2" s="40" t="s">
        <v>2</v>
      </c>
      <c r="B2" s="41" t="s">
        <v>3</v>
      </c>
      <c r="C2" s="80" t="s">
        <v>4</v>
      </c>
      <c r="D2" s="81" t="s">
        <v>5</v>
      </c>
      <c r="E2" s="81" t="s">
        <v>6</v>
      </c>
      <c r="F2" s="81" t="s">
        <v>7</v>
      </c>
      <c r="G2" s="81" t="s">
        <v>8</v>
      </c>
      <c r="H2" s="81" t="s">
        <v>9</v>
      </c>
      <c r="I2" s="81" t="s">
        <v>10</v>
      </c>
      <c r="J2" s="81" t="s">
        <v>11</v>
      </c>
      <c r="K2" s="81" t="s">
        <v>12</v>
      </c>
      <c r="L2" s="82" t="s">
        <v>13</v>
      </c>
      <c r="N2" s="40" t="s">
        <v>2</v>
      </c>
      <c r="O2" s="41" t="s">
        <v>14</v>
      </c>
      <c r="P2" s="42" t="s">
        <v>4</v>
      </c>
      <c r="Q2" s="42" t="s">
        <v>5</v>
      </c>
      <c r="R2" s="42" t="s">
        <v>6</v>
      </c>
      <c r="S2" s="42" t="s">
        <v>7</v>
      </c>
      <c r="T2" s="42" t="s">
        <v>8</v>
      </c>
      <c r="U2" s="42" t="s">
        <v>9</v>
      </c>
      <c r="V2" s="42" t="s">
        <v>10</v>
      </c>
      <c r="W2" s="42" t="s">
        <v>11</v>
      </c>
      <c r="X2" s="42" t="s">
        <v>12</v>
      </c>
      <c r="Y2" s="41" t="s">
        <v>13</v>
      </c>
    </row>
    <row r="3" spans="1:25" x14ac:dyDescent="0.25">
      <c r="A3" s="36" t="s">
        <v>15</v>
      </c>
      <c r="B3" t="s">
        <v>16</v>
      </c>
      <c r="C3" s="43">
        <v>41550</v>
      </c>
      <c r="D3" s="44">
        <v>39189</v>
      </c>
      <c r="E3" s="44">
        <v>35923</v>
      </c>
      <c r="F3" s="44">
        <v>35790</v>
      </c>
      <c r="G3" s="44">
        <v>35400</v>
      </c>
      <c r="H3" s="44">
        <v>36650</v>
      </c>
      <c r="I3" s="44">
        <v>36916</v>
      </c>
      <c r="J3" s="44">
        <v>35313</v>
      </c>
      <c r="K3" s="44">
        <v>33985</v>
      </c>
      <c r="L3" s="45">
        <v>34813</v>
      </c>
      <c r="N3" s="36" t="s">
        <v>15</v>
      </c>
      <c r="O3" s="37" t="s">
        <v>17</v>
      </c>
      <c r="P3" s="43">
        <v>18018</v>
      </c>
      <c r="Q3" s="44">
        <v>16310</v>
      </c>
      <c r="R3" s="44">
        <v>15212</v>
      </c>
      <c r="S3" s="44">
        <v>14745</v>
      </c>
      <c r="T3" s="44">
        <v>13878</v>
      </c>
      <c r="U3" s="44">
        <v>13302</v>
      </c>
      <c r="V3" s="44">
        <v>13282</v>
      </c>
      <c r="W3" s="44">
        <v>13040</v>
      </c>
      <c r="X3" s="44">
        <v>13207</v>
      </c>
      <c r="Y3" s="45">
        <v>13519</v>
      </c>
    </row>
    <row r="4" spans="1:25" x14ac:dyDescent="0.25">
      <c r="A4" s="36"/>
      <c r="B4" t="s">
        <v>18</v>
      </c>
      <c r="C4" s="46">
        <v>41</v>
      </c>
      <c r="D4" s="83">
        <v>37</v>
      </c>
      <c r="E4" s="83">
        <v>19</v>
      </c>
      <c r="F4" s="83">
        <v>45</v>
      </c>
      <c r="G4" s="83">
        <v>46</v>
      </c>
      <c r="H4" s="83">
        <v>36</v>
      </c>
      <c r="I4" s="83">
        <v>29</v>
      </c>
      <c r="J4" s="83">
        <v>28</v>
      </c>
      <c r="K4" s="83">
        <v>29</v>
      </c>
      <c r="L4" s="47">
        <v>34</v>
      </c>
      <c r="N4" s="36"/>
      <c r="O4" s="37" t="s">
        <v>19</v>
      </c>
      <c r="P4" s="46">
        <v>11152</v>
      </c>
      <c r="Q4" s="83">
        <v>9867</v>
      </c>
      <c r="R4" s="83">
        <v>9401</v>
      </c>
      <c r="S4" s="83">
        <v>9116</v>
      </c>
      <c r="T4" s="83">
        <v>8250</v>
      </c>
      <c r="U4" s="83">
        <v>7763</v>
      </c>
      <c r="V4" s="83">
        <v>7548</v>
      </c>
      <c r="W4" s="83">
        <v>7421</v>
      </c>
      <c r="X4" s="83">
        <v>7434</v>
      </c>
      <c r="Y4" s="47">
        <v>7241</v>
      </c>
    </row>
    <row r="5" spans="1:25" x14ac:dyDescent="0.25">
      <c r="A5" s="36"/>
      <c r="B5" t="s">
        <v>20</v>
      </c>
      <c r="C5" s="46">
        <v>31163</v>
      </c>
      <c r="D5" s="83">
        <v>29760</v>
      </c>
      <c r="E5" s="83">
        <v>27936</v>
      </c>
      <c r="F5" s="83">
        <v>27671</v>
      </c>
      <c r="G5" s="83">
        <v>26414</v>
      </c>
      <c r="H5" s="83">
        <v>25216</v>
      </c>
      <c r="I5" s="83">
        <v>25159</v>
      </c>
      <c r="J5" s="83">
        <v>24165</v>
      </c>
      <c r="K5" s="83">
        <v>23540</v>
      </c>
      <c r="L5" s="47">
        <v>24406</v>
      </c>
      <c r="N5" s="36"/>
      <c r="O5" s="37" t="s">
        <v>21</v>
      </c>
      <c r="P5" s="46">
        <v>6866</v>
      </c>
      <c r="Q5" s="83">
        <v>6443</v>
      </c>
      <c r="R5" s="83">
        <v>5811</v>
      </c>
      <c r="S5" s="83">
        <v>5629</v>
      </c>
      <c r="T5" s="83">
        <v>5628</v>
      </c>
      <c r="U5" s="83">
        <v>5539</v>
      </c>
      <c r="V5" s="83">
        <v>5734</v>
      </c>
      <c r="W5" s="83">
        <v>5619</v>
      </c>
      <c r="X5" s="83">
        <v>5773</v>
      </c>
      <c r="Y5" s="47">
        <v>6278</v>
      </c>
    </row>
    <row r="6" spans="1:25" x14ac:dyDescent="0.25">
      <c r="A6" s="36"/>
      <c r="B6" t="s">
        <v>22</v>
      </c>
      <c r="C6" s="46">
        <v>10346</v>
      </c>
      <c r="D6" s="83">
        <v>9392</v>
      </c>
      <c r="E6" s="83">
        <v>7968</v>
      </c>
      <c r="F6" s="83">
        <v>8074</v>
      </c>
      <c r="G6" s="83">
        <v>8940</v>
      </c>
      <c r="H6" s="83">
        <v>11398</v>
      </c>
      <c r="I6" s="83">
        <v>11728</v>
      </c>
      <c r="J6" s="83">
        <v>11120</v>
      </c>
      <c r="K6" s="83">
        <v>10416</v>
      </c>
      <c r="L6" s="47">
        <v>10373</v>
      </c>
      <c r="N6" s="36" t="s">
        <v>23</v>
      </c>
      <c r="O6" s="37" t="s">
        <v>17</v>
      </c>
      <c r="P6" s="46">
        <v>9625</v>
      </c>
      <c r="Q6" s="83">
        <v>8673</v>
      </c>
      <c r="R6" s="83">
        <v>8159</v>
      </c>
      <c r="S6" s="83">
        <v>7956</v>
      </c>
      <c r="T6" s="83">
        <v>7513</v>
      </c>
      <c r="U6" s="83">
        <v>7156</v>
      </c>
      <c r="V6" s="83">
        <v>7211</v>
      </c>
      <c r="W6" s="83">
        <v>7064</v>
      </c>
      <c r="X6" s="83">
        <v>7244</v>
      </c>
      <c r="Y6" s="47">
        <v>7431</v>
      </c>
    </row>
    <row r="7" spans="1:25" x14ac:dyDescent="0.25">
      <c r="A7" s="36" t="s">
        <v>23</v>
      </c>
      <c r="B7" t="s">
        <v>16</v>
      </c>
      <c r="C7" s="46">
        <v>20349</v>
      </c>
      <c r="D7" s="83">
        <v>19156</v>
      </c>
      <c r="E7" s="83">
        <v>17360</v>
      </c>
      <c r="F7" s="83">
        <v>17649</v>
      </c>
      <c r="G7" s="83">
        <v>17162</v>
      </c>
      <c r="H7" s="83">
        <v>17812</v>
      </c>
      <c r="I7" s="83">
        <v>17871</v>
      </c>
      <c r="J7" s="83">
        <v>17191</v>
      </c>
      <c r="K7" s="83">
        <v>16433</v>
      </c>
      <c r="L7" s="47">
        <v>16872</v>
      </c>
      <c r="N7" s="36"/>
      <c r="O7" s="37" t="s">
        <v>19</v>
      </c>
      <c r="P7" s="46">
        <v>5322</v>
      </c>
      <c r="Q7" s="83">
        <v>4665</v>
      </c>
      <c r="R7" s="83">
        <v>4504</v>
      </c>
      <c r="S7" s="83">
        <v>4363</v>
      </c>
      <c r="T7" s="83">
        <v>3977</v>
      </c>
      <c r="U7" s="83">
        <v>3683</v>
      </c>
      <c r="V7" s="83">
        <v>3614</v>
      </c>
      <c r="W7" s="83">
        <v>3463</v>
      </c>
      <c r="X7" s="83">
        <v>3566</v>
      </c>
      <c r="Y7" s="47">
        <v>3449</v>
      </c>
    </row>
    <row r="8" spans="1:25" x14ac:dyDescent="0.25">
      <c r="A8" s="36"/>
      <c r="B8" t="s">
        <v>18</v>
      </c>
      <c r="C8" s="46">
        <v>19</v>
      </c>
      <c r="D8" s="83">
        <v>17</v>
      </c>
      <c r="E8" s="83">
        <v>10</v>
      </c>
      <c r="F8" s="83">
        <v>23</v>
      </c>
      <c r="G8" s="83">
        <v>31</v>
      </c>
      <c r="H8" s="83">
        <v>14</v>
      </c>
      <c r="I8" s="83">
        <v>13</v>
      </c>
      <c r="J8" s="83">
        <v>20</v>
      </c>
      <c r="K8" s="83">
        <v>16</v>
      </c>
      <c r="L8" s="47">
        <v>16</v>
      </c>
      <c r="N8" s="36"/>
      <c r="O8" s="37" t="s">
        <v>21</v>
      </c>
      <c r="P8" s="46">
        <v>4303</v>
      </c>
      <c r="Q8" s="83">
        <v>4008</v>
      </c>
      <c r="R8" s="83">
        <v>3655</v>
      </c>
      <c r="S8" s="83">
        <v>3593</v>
      </c>
      <c r="T8" s="83">
        <v>3536</v>
      </c>
      <c r="U8" s="83">
        <v>3473</v>
      </c>
      <c r="V8" s="83">
        <v>3597</v>
      </c>
      <c r="W8" s="83">
        <v>3601</v>
      </c>
      <c r="X8" s="83">
        <v>3678</v>
      </c>
      <c r="Y8" s="47">
        <v>3982</v>
      </c>
    </row>
    <row r="9" spans="1:25" x14ac:dyDescent="0.25">
      <c r="A9" s="36"/>
      <c r="B9" t="s">
        <v>20</v>
      </c>
      <c r="C9" s="46">
        <v>15393</v>
      </c>
      <c r="D9" s="83">
        <v>14675</v>
      </c>
      <c r="E9" s="83">
        <v>13668</v>
      </c>
      <c r="F9" s="83">
        <v>13663</v>
      </c>
      <c r="G9" s="83">
        <v>12818</v>
      </c>
      <c r="H9" s="83">
        <v>12362</v>
      </c>
      <c r="I9" s="83">
        <v>12177</v>
      </c>
      <c r="J9" s="83">
        <v>11833</v>
      </c>
      <c r="K9" s="83">
        <v>11468</v>
      </c>
      <c r="L9" s="47">
        <v>11817</v>
      </c>
      <c r="N9" s="36" t="s">
        <v>24</v>
      </c>
      <c r="O9" s="37" t="s">
        <v>17</v>
      </c>
      <c r="P9" s="46">
        <v>6016</v>
      </c>
      <c r="Q9" s="83">
        <v>5440</v>
      </c>
      <c r="R9" s="83">
        <v>5139</v>
      </c>
      <c r="S9" s="83">
        <v>4934</v>
      </c>
      <c r="T9" s="83">
        <v>4597</v>
      </c>
      <c r="U9" s="83">
        <v>4399</v>
      </c>
      <c r="V9" s="83">
        <v>4392</v>
      </c>
      <c r="W9" s="83">
        <v>4282</v>
      </c>
      <c r="X9" s="83">
        <v>4257</v>
      </c>
      <c r="Y9" s="47">
        <v>4328</v>
      </c>
    </row>
    <row r="10" spans="1:25" x14ac:dyDescent="0.25">
      <c r="A10" s="36"/>
      <c r="B10" t="s">
        <v>22</v>
      </c>
      <c r="C10" s="46">
        <v>4937</v>
      </c>
      <c r="D10" s="83">
        <v>4464</v>
      </c>
      <c r="E10" s="83">
        <v>3682</v>
      </c>
      <c r="F10" s="83">
        <v>3963</v>
      </c>
      <c r="G10" s="83">
        <v>4313</v>
      </c>
      <c r="H10" s="83">
        <v>5436</v>
      </c>
      <c r="I10" s="83">
        <v>5681</v>
      </c>
      <c r="J10" s="83">
        <v>5338</v>
      </c>
      <c r="K10" s="83">
        <v>4949</v>
      </c>
      <c r="L10" s="47">
        <v>5039</v>
      </c>
      <c r="N10" s="36"/>
      <c r="O10" s="37" t="s">
        <v>19</v>
      </c>
      <c r="P10" s="46">
        <v>4127</v>
      </c>
      <c r="Q10" s="83">
        <v>3635</v>
      </c>
      <c r="R10" s="83">
        <v>3516</v>
      </c>
      <c r="S10" s="83">
        <v>3403</v>
      </c>
      <c r="T10" s="83">
        <v>3020</v>
      </c>
      <c r="U10" s="83">
        <v>2882</v>
      </c>
      <c r="V10" s="83">
        <v>2815</v>
      </c>
      <c r="W10" s="83">
        <v>2766</v>
      </c>
      <c r="X10" s="83">
        <v>2715</v>
      </c>
      <c r="Y10" s="47">
        <v>2638</v>
      </c>
    </row>
    <row r="11" spans="1:25" x14ac:dyDescent="0.25">
      <c r="A11" s="36" t="s">
        <v>24</v>
      </c>
      <c r="B11" t="s">
        <v>16</v>
      </c>
      <c r="C11" s="46">
        <v>13458</v>
      </c>
      <c r="D11" s="83">
        <v>12615</v>
      </c>
      <c r="E11" s="83">
        <v>11822</v>
      </c>
      <c r="F11" s="83">
        <v>11609</v>
      </c>
      <c r="G11" s="83">
        <v>11594</v>
      </c>
      <c r="H11" s="83">
        <v>11964</v>
      </c>
      <c r="I11" s="83">
        <v>12090</v>
      </c>
      <c r="J11" s="83">
        <v>11591</v>
      </c>
      <c r="K11" s="83">
        <v>11379</v>
      </c>
      <c r="L11" s="47">
        <v>11515</v>
      </c>
      <c r="N11" s="36"/>
      <c r="O11" s="37" t="s">
        <v>21</v>
      </c>
      <c r="P11" s="46">
        <v>1889</v>
      </c>
      <c r="Q11" s="83">
        <v>1805</v>
      </c>
      <c r="R11" s="83">
        <v>1623</v>
      </c>
      <c r="S11" s="83">
        <v>1531</v>
      </c>
      <c r="T11" s="83">
        <v>1577</v>
      </c>
      <c r="U11" s="83">
        <v>1517</v>
      </c>
      <c r="V11" s="83">
        <v>1577</v>
      </c>
      <c r="W11" s="83">
        <v>1516</v>
      </c>
      <c r="X11" s="83">
        <v>1542</v>
      </c>
      <c r="Y11" s="47">
        <v>1690</v>
      </c>
    </row>
    <row r="12" spans="1:25" x14ac:dyDescent="0.25">
      <c r="A12" s="36"/>
      <c r="B12" t="s">
        <v>18</v>
      </c>
      <c r="C12" s="46">
        <v>10</v>
      </c>
      <c r="D12" s="83">
        <v>10</v>
      </c>
      <c r="E12" s="83">
        <v>8</v>
      </c>
      <c r="F12" s="83">
        <v>12</v>
      </c>
      <c r="G12" s="83">
        <v>8</v>
      </c>
      <c r="H12" s="83">
        <v>16</v>
      </c>
      <c r="I12" s="83">
        <v>10</v>
      </c>
      <c r="J12" s="83">
        <v>7</v>
      </c>
      <c r="K12" s="83">
        <v>7</v>
      </c>
      <c r="L12" s="47">
        <v>12</v>
      </c>
      <c r="N12" s="36" t="s">
        <v>25</v>
      </c>
      <c r="O12" s="37" t="s">
        <v>17</v>
      </c>
      <c r="P12" s="46">
        <v>1875</v>
      </c>
      <c r="Q12" s="83">
        <v>1783</v>
      </c>
      <c r="R12" s="83">
        <v>1514</v>
      </c>
      <c r="S12" s="83">
        <v>1500</v>
      </c>
      <c r="T12" s="83">
        <v>1398</v>
      </c>
      <c r="U12" s="83">
        <v>1400</v>
      </c>
      <c r="V12" s="83">
        <v>1361</v>
      </c>
      <c r="W12" s="83">
        <v>1362</v>
      </c>
      <c r="X12" s="83">
        <v>1374</v>
      </c>
      <c r="Y12" s="47">
        <v>1442</v>
      </c>
    </row>
    <row r="13" spans="1:25" x14ac:dyDescent="0.25">
      <c r="A13" s="36"/>
      <c r="B13" t="s">
        <v>20</v>
      </c>
      <c r="C13" s="46">
        <v>9918</v>
      </c>
      <c r="D13" s="83">
        <v>9388</v>
      </c>
      <c r="E13" s="83">
        <v>9054</v>
      </c>
      <c r="F13" s="83">
        <v>8858</v>
      </c>
      <c r="G13" s="83">
        <v>8686</v>
      </c>
      <c r="H13" s="83">
        <v>8161</v>
      </c>
      <c r="I13" s="83">
        <v>8266</v>
      </c>
      <c r="J13" s="83">
        <v>7929</v>
      </c>
      <c r="K13" s="83">
        <v>7826</v>
      </c>
      <c r="L13" s="47">
        <v>8144</v>
      </c>
      <c r="N13" s="36"/>
      <c r="O13" s="37" t="s">
        <v>19</v>
      </c>
      <c r="P13" s="46">
        <v>1313</v>
      </c>
      <c r="Q13" s="83">
        <v>1221</v>
      </c>
      <c r="R13" s="83">
        <v>1058</v>
      </c>
      <c r="S13" s="83">
        <v>1072</v>
      </c>
      <c r="T13" s="83">
        <v>950</v>
      </c>
      <c r="U13" s="83">
        <v>929</v>
      </c>
      <c r="V13" s="83">
        <v>874</v>
      </c>
      <c r="W13" s="83">
        <v>935</v>
      </c>
      <c r="X13" s="83">
        <v>889</v>
      </c>
      <c r="Y13" s="47">
        <v>896</v>
      </c>
    </row>
    <row r="14" spans="1:25" x14ac:dyDescent="0.25">
      <c r="A14" s="36"/>
      <c r="B14" t="s">
        <v>22</v>
      </c>
      <c r="C14" s="46">
        <v>3530</v>
      </c>
      <c r="D14" s="83">
        <v>3217</v>
      </c>
      <c r="E14" s="83">
        <v>2760</v>
      </c>
      <c r="F14" s="83">
        <v>2739</v>
      </c>
      <c r="G14" s="83">
        <v>2900</v>
      </c>
      <c r="H14" s="83">
        <v>3787</v>
      </c>
      <c r="I14" s="83">
        <v>3814</v>
      </c>
      <c r="J14" s="83">
        <v>3655</v>
      </c>
      <c r="K14" s="83">
        <v>3546</v>
      </c>
      <c r="L14" s="47">
        <v>3359</v>
      </c>
      <c r="N14" s="36"/>
      <c r="O14" s="37" t="s">
        <v>21</v>
      </c>
      <c r="P14" s="46">
        <v>562</v>
      </c>
      <c r="Q14" s="83">
        <v>562</v>
      </c>
      <c r="R14" s="83">
        <v>456</v>
      </c>
      <c r="S14" s="83">
        <v>428</v>
      </c>
      <c r="T14" s="83">
        <v>448</v>
      </c>
      <c r="U14" s="83">
        <v>471</v>
      </c>
      <c r="V14" s="83">
        <v>487</v>
      </c>
      <c r="W14" s="83">
        <v>427</v>
      </c>
      <c r="X14" s="83">
        <v>485</v>
      </c>
      <c r="Y14" s="47">
        <v>546</v>
      </c>
    </row>
    <row r="15" spans="1:25" x14ac:dyDescent="0.25">
      <c r="A15" s="36" t="s">
        <v>25</v>
      </c>
      <c r="B15" t="s">
        <v>16</v>
      </c>
      <c r="C15" s="46">
        <v>6151</v>
      </c>
      <c r="D15" s="83">
        <v>5914</v>
      </c>
      <c r="E15" s="83">
        <v>5353</v>
      </c>
      <c r="F15" s="83">
        <v>5236</v>
      </c>
      <c r="G15" s="83">
        <v>5256</v>
      </c>
      <c r="H15" s="83">
        <v>5485</v>
      </c>
      <c r="I15" s="83">
        <v>5579</v>
      </c>
      <c r="J15" s="83">
        <v>5170</v>
      </c>
      <c r="K15" s="83">
        <v>4897</v>
      </c>
      <c r="L15" s="47">
        <v>5050</v>
      </c>
      <c r="N15" s="36" t="s">
        <v>26</v>
      </c>
      <c r="O15" s="37" t="s">
        <v>17</v>
      </c>
      <c r="P15" s="46">
        <v>502</v>
      </c>
      <c r="Q15" s="83">
        <v>414</v>
      </c>
      <c r="R15" s="83">
        <v>400</v>
      </c>
      <c r="S15" s="83">
        <v>355</v>
      </c>
      <c r="T15" s="83">
        <v>370</v>
      </c>
      <c r="U15" s="83">
        <v>347</v>
      </c>
      <c r="V15" s="83">
        <v>318</v>
      </c>
      <c r="W15" s="83">
        <v>332</v>
      </c>
      <c r="X15" s="83">
        <v>332</v>
      </c>
      <c r="Y15" s="47">
        <v>318</v>
      </c>
    </row>
    <row r="16" spans="1:25" x14ac:dyDescent="0.25">
      <c r="A16" s="36"/>
      <c r="B16" t="s">
        <v>18</v>
      </c>
      <c r="C16" s="46">
        <v>10</v>
      </c>
      <c r="D16" s="83">
        <v>7</v>
      </c>
      <c r="E16" s="83">
        <v>0</v>
      </c>
      <c r="F16" s="83">
        <v>8</v>
      </c>
      <c r="G16" s="83">
        <v>5</v>
      </c>
      <c r="H16" s="83">
        <v>6</v>
      </c>
      <c r="I16" s="83">
        <v>5</v>
      </c>
      <c r="J16" s="83">
        <v>1</v>
      </c>
      <c r="K16" s="83">
        <v>3</v>
      </c>
      <c r="L16" s="47">
        <v>5</v>
      </c>
      <c r="N16" s="36"/>
      <c r="O16" s="37" t="s">
        <v>19</v>
      </c>
      <c r="P16" s="46">
        <v>390</v>
      </c>
      <c r="Q16" s="83">
        <v>346</v>
      </c>
      <c r="R16" s="83">
        <v>323</v>
      </c>
      <c r="S16" s="83">
        <v>278</v>
      </c>
      <c r="T16" s="83">
        <v>303</v>
      </c>
      <c r="U16" s="83">
        <v>269</v>
      </c>
      <c r="V16" s="83">
        <v>245</v>
      </c>
      <c r="W16" s="83">
        <v>257</v>
      </c>
      <c r="X16" s="83">
        <v>264</v>
      </c>
      <c r="Y16" s="47">
        <v>258</v>
      </c>
    </row>
    <row r="17" spans="1:25" x14ac:dyDescent="0.25">
      <c r="A17" s="36"/>
      <c r="B17" t="s">
        <v>20</v>
      </c>
      <c r="C17" s="46">
        <v>4692</v>
      </c>
      <c r="D17" s="83">
        <v>4578</v>
      </c>
      <c r="E17" s="83">
        <v>4177</v>
      </c>
      <c r="F17" s="83">
        <v>4129</v>
      </c>
      <c r="G17" s="83">
        <v>3905</v>
      </c>
      <c r="H17" s="83">
        <v>3720</v>
      </c>
      <c r="I17" s="83">
        <v>3799</v>
      </c>
      <c r="J17" s="83">
        <v>3488</v>
      </c>
      <c r="K17" s="83">
        <v>3375</v>
      </c>
      <c r="L17" s="47">
        <v>3527</v>
      </c>
      <c r="N17" s="38"/>
      <c r="O17" s="39" t="s">
        <v>21</v>
      </c>
      <c r="P17" s="48">
        <v>112</v>
      </c>
      <c r="Q17" s="49">
        <v>68</v>
      </c>
      <c r="R17" s="49">
        <v>77</v>
      </c>
      <c r="S17" s="49">
        <v>77</v>
      </c>
      <c r="T17" s="49">
        <v>67</v>
      </c>
      <c r="U17" s="49">
        <v>78</v>
      </c>
      <c r="V17" s="49">
        <v>73</v>
      </c>
      <c r="W17" s="49">
        <v>75</v>
      </c>
      <c r="X17" s="49">
        <v>68</v>
      </c>
      <c r="Y17" s="50">
        <v>60</v>
      </c>
    </row>
    <row r="18" spans="1:25" x14ac:dyDescent="0.25">
      <c r="A18" s="36"/>
      <c r="B18" t="s">
        <v>22</v>
      </c>
      <c r="C18" s="46">
        <v>1449</v>
      </c>
      <c r="D18" s="83">
        <v>1329</v>
      </c>
      <c r="E18" s="83">
        <v>1176</v>
      </c>
      <c r="F18" s="83">
        <v>1099</v>
      </c>
      <c r="G18" s="83">
        <v>1346</v>
      </c>
      <c r="H18" s="83">
        <v>1759</v>
      </c>
      <c r="I18" s="83">
        <v>1775</v>
      </c>
      <c r="J18" s="83">
        <v>1681</v>
      </c>
      <c r="K18" s="83">
        <v>1519</v>
      </c>
      <c r="L18" s="47">
        <v>1518</v>
      </c>
    </row>
    <row r="19" spans="1:25" x14ac:dyDescent="0.25">
      <c r="A19" s="36" t="s">
        <v>26</v>
      </c>
      <c r="B19" t="s">
        <v>16</v>
      </c>
      <c r="C19" s="46">
        <v>1592</v>
      </c>
      <c r="D19" s="83">
        <v>1504</v>
      </c>
      <c r="E19" s="83">
        <v>1388</v>
      </c>
      <c r="F19" s="83">
        <v>1296</v>
      </c>
      <c r="G19" s="83">
        <v>1388</v>
      </c>
      <c r="H19" s="83">
        <v>1389</v>
      </c>
      <c r="I19" s="83">
        <v>1376</v>
      </c>
      <c r="J19" s="83">
        <v>1361</v>
      </c>
      <c r="K19" s="83">
        <v>1276</v>
      </c>
      <c r="L19" s="47">
        <v>1376</v>
      </c>
    </row>
    <row r="20" spans="1:25" x14ac:dyDescent="0.25">
      <c r="A20" s="36"/>
      <c r="B20" t="s">
        <v>18</v>
      </c>
      <c r="C20" s="46">
        <v>2</v>
      </c>
      <c r="D20" s="83">
        <v>3</v>
      </c>
      <c r="E20" s="83">
        <v>1</v>
      </c>
      <c r="F20" s="83">
        <v>2</v>
      </c>
      <c r="G20" s="83">
        <v>2</v>
      </c>
      <c r="H20" s="83">
        <v>0</v>
      </c>
      <c r="I20" s="83">
        <v>1</v>
      </c>
      <c r="J20" s="83">
        <v>0</v>
      </c>
      <c r="K20" s="83">
        <v>3</v>
      </c>
      <c r="L20" s="47">
        <v>1</v>
      </c>
    </row>
    <row r="21" spans="1:25" x14ac:dyDescent="0.25">
      <c r="A21" s="36"/>
      <c r="B21" t="s">
        <v>20</v>
      </c>
      <c r="C21" s="46">
        <v>1160</v>
      </c>
      <c r="D21" s="83">
        <v>1119</v>
      </c>
      <c r="E21" s="83">
        <v>1037</v>
      </c>
      <c r="F21" s="83">
        <v>1021</v>
      </c>
      <c r="G21" s="83">
        <v>1005</v>
      </c>
      <c r="H21" s="83">
        <v>973</v>
      </c>
      <c r="I21" s="83">
        <v>917</v>
      </c>
      <c r="J21" s="83">
        <v>915</v>
      </c>
      <c r="K21" s="83">
        <v>871</v>
      </c>
      <c r="L21" s="47">
        <v>918</v>
      </c>
    </row>
    <row r="22" spans="1:25" x14ac:dyDescent="0.25">
      <c r="A22" s="38"/>
      <c r="B22" s="51" t="s">
        <v>22</v>
      </c>
      <c r="C22" s="48">
        <v>430</v>
      </c>
      <c r="D22" s="49">
        <v>382</v>
      </c>
      <c r="E22" s="49">
        <v>350</v>
      </c>
      <c r="F22" s="49">
        <v>273</v>
      </c>
      <c r="G22" s="49">
        <v>381</v>
      </c>
      <c r="H22" s="49">
        <v>416</v>
      </c>
      <c r="I22" s="49">
        <v>458</v>
      </c>
      <c r="J22" s="49">
        <v>446</v>
      </c>
      <c r="K22" s="49">
        <v>402</v>
      </c>
      <c r="L22" s="50">
        <v>457</v>
      </c>
    </row>
    <row r="23" spans="1:25" x14ac:dyDescent="0.25">
      <c r="A23" s="38"/>
      <c r="B23" s="51"/>
      <c r="C23" s="49"/>
      <c r="D23" s="49"/>
      <c r="E23" s="49"/>
      <c r="F23" s="49"/>
      <c r="G23" s="49"/>
      <c r="H23" s="49"/>
      <c r="I23" s="49"/>
      <c r="J23" s="49"/>
      <c r="K23" s="49"/>
      <c r="L23" s="49"/>
    </row>
    <row r="24" spans="1:25" x14ac:dyDescent="0.25">
      <c r="A24" s="107" t="s">
        <v>229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</row>
    <row r="25" spans="1:25" x14ac:dyDescent="0.25">
      <c r="A25" s="40" t="s">
        <v>2</v>
      </c>
      <c r="B25" s="41" t="s">
        <v>3</v>
      </c>
      <c r="C25" s="80" t="s">
        <v>4</v>
      </c>
      <c r="D25" s="81" t="s">
        <v>5</v>
      </c>
      <c r="E25" s="81" t="s">
        <v>6</v>
      </c>
      <c r="F25" s="81" t="s">
        <v>7</v>
      </c>
      <c r="G25" s="81" t="s">
        <v>8</v>
      </c>
      <c r="H25" s="81" t="s">
        <v>9</v>
      </c>
      <c r="I25" s="81" t="s">
        <v>10</v>
      </c>
      <c r="J25" s="81" t="s">
        <v>11</v>
      </c>
      <c r="K25" s="81" t="s">
        <v>12</v>
      </c>
      <c r="L25" s="82" t="s">
        <v>13</v>
      </c>
    </row>
    <row r="26" spans="1:25" x14ac:dyDescent="0.25">
      <c r="A26" s="36" t="s">
        <v>15</v>
      </c>
      <c r="B26" t="s">
        <v>16</v>
      </c>
      <c r="C26" s="43">
        <v>37111</v>
      </c>
      <c r="D26" s="44">
        <v>34940</v>
      </c>
      <c r="E26" s="44">
        <v>31858</v>
      </c>
      <c r="F26" s="44">
        <v>31685</v>
      </c>
      <c r="G26" s="44">
        <v>31229</v>
      </c>
      <c r="H26" s="44">
        <v>32238</v>
      </c>
      <c r="I26" s="44">
        <v>32444</v>
      </c>
      <c r="J26" s="44">
        <v>30970</v>
      </c>
      <c r="K26" s="44">
        <v>29801</v>
      </c>
      <c r="L26" s="45">
        <v>30443</v>
      </c>
    </row>
    <row r="27" spans="1:25" x14ac:dyDescent="0.25">
      <c r="A27" s="36"/>
      <c r="B27" t="s">
        <v>18</v>
      </c>
      <c r="C27" s="46">
        <v>37</v>
      </c>
      <c r="D27" s="83">
        <v>29</v>
      </c>
      <c r="E27" s="83">
        <v>17</v>
      </c>
      <c r="F27" s="83">
        <v>42</v>
      </c>
      <c r="G27" s="83">
        <v>41</v>
      </c>
      <c r="H27" s="83">
        <v>28</v>
      </c>
      <c r="I27" s="83">
        <v>20</v>
      </c>
      <c r="J27" s="83">
        <v>21</v>
      </c>
      <c r="K27" s="83">
        <v>26</v>
      </c>
      <c r="L27" s="47">
        <v>24</v>
      </c>
    </row>
    <row r="28" spans="1:25" x14ac:dyDescent="0.25">
      <c r="A28" s="36"/>
      <c r="B28" t="s">
        <v>20</v>
      </c>
      <c r="C28" s="46">
        <v>28013</v>
      </c>
      <c r="D28" s="83">
        <v>26667</v>
      </c>
      <c r="E28" s="83">
        <v>24849</v>
      </c>
      <c r="F28" s="83">
        <v>24592</v>
      </c>
      <c r="G28" s="83">
        <v>23372</v>
      </c>
      <c r="H28" s="83">
        <v>22240</v>
      </c>
      <c r="I28" s="83">
        <v>22186</v>
      </c>
      <c r="J28" s="83">
        <v>21290</v>
      </c>
      <c r="K28" s="83">
        <v>20677</v>
      </c>
      <c r="L28" s="47">
        <v>21414</v>
      </c>
    </row>
    <row r="29" spans="1:25" x14ac:dyDescent="0.25">
      <c r="A29" s="36"/>
      <c r="B29" t="s">
        <v>22</v>
      </c>
      <c r="C29" s="46">
        <v>9061</v>
      </c>
      <c r="D29" s="83">
        <v>8244</v>
      </c>
      <c r="E29" s="83">
        <v>6992</v>
      </c>
      <c r="F29" s="83">
        <v>7051</v>
      </c>
      <c r="G29" s="83">
        <v>7816</v>
      </c>
      <c r="H29" s="83">
        <v>9970</v>
      </c>
      <c r="I29" s="83">
        <v>10238</v>
      </c>
      <c r="J29" s="83">
        <v>9659</v>
      </c>
      <c r="K29" s="83">
        <v>9098</v>
      </c>
      <c r="L29" s="47">
        <v>9005</v>
      </c>
    </row>
    <row r="30" spans="1:25" x14ac:dyDescent="0.25">
      <c r="A30" s="36" t="s">
        <v>23</v>
      </c>
      <c r="B30" t="s">
        <v>16</v>
      </c>
      <c r="C30" s="46">
        <v>18258</v>
      </c>
      <c r="D30" s="83">
        <v>17151</v>
      </c>
      <c r="E30" s="83">
        <v>15521</v>
      </c>
      <c r="F30" s="83">
        <v>15697</v>
      </c>
      <c r="G30" s="83">
        <v>15254</v>
      </c>
      <c r="H30" s="83">
        <v>15755</v>
      </c>
      <c r="I30" s="83">
        <v>15764</v>
      </c>
      <c r="J30" s="83">
        <v>15178</v>
      </c>
      <c r="K30" s="83">
        <v>14467</v>
      </c>
      <c r="L30" s="47">
        <v>14820</v>
      </c>
    </row>
    <row r="31" spans="1:25" x14ac:dyDescent="0.25">
      <c r="A31" s="36"/>
      <c r="B31" t="s">
        <v>18</v>
      </c>
      <c r="C31" s="46">
        <v>17</v>
      </c>
      <c r="D31" s="83">
        <v>14</v>
      </c>
      <c r="E31" s="83">
        <v>10</v>
      </c>
      <c r="F31" s="83">
        <v>21</v>
      </c>
      <c r="G31" s="83">
        <v>28</v>
      </c>
      <c r="H31" s="83">
        <v>10</v>
      </c>
      <c r="I31" s="83">
        <v>8</v>
      </c>
      <c r="J31" s="83">
        <v>15</v>
      </c>
      <c r="K31" s="83">
        <v>14</v>
      </c>
      <c r="L31" s="47">
        <v>11</v>
      </c>
    </row>
    <row r="32" spans="1:25" x14ac:dyDescent="0.25">
      <c r="A32" s="36"/>
      <c r="B32" t="s">
        <v>20</v>
      </c>
      <c r="C32" s="46">
        <v>13891</v>
      </c>
      <c r="D32" s="83">
        <v>13213</v>
      </c>
      <c r="E32" s="83">
        <v>12268</v>
      </c>
      <c r="F32" s="83">
        <v>12210</v>
      </c>
      <c r="G32" s="83">
        <v>11432</v>
      </c>
      <c r="H32" s="83">
        <v>10964</v>
      </c>
      <c r="I32" s="83">
        <v>10773</v>
      </c>
      <c r="J32" s="83">
        <v>10483</v>
      </c>
      <c r="K32" s="83">
        <v>10108</v>
      </c>
      <c r="L32" s="47">
        <v>10421</v>
      </c>
    </row>
    <row r="33" spans="1:25" x14ac:dyDescent="0.25">
      <c r="A33" s="36"/>
      <c r="B33" t="s">
        <v>22</v>
      </c>
      <c r="C33" s="46">
        <v>4350</v>
      </c>
      <c r="D33" s="83">
        <v>3924</v>
      </c>
      <c r="E33" s="83">
        <v>3243</v>
      </c>
      <c r="F33" s="83">
        <v>3466</v>
      </c>
      <c r="G33" s="83">
        <v>3794</v>
      </c>
      <c r="H33" s="83">
        <v>4781</v>
      </c>
      <c r="I33" s="83">
        <v>4983</v>
      </c>
      <c r="J33" s="83">
        <v>4680</v>
      </c>
      <c r="K33" s="83">
        <v>4345</v>
      </c>
      <c r="L33" s="47">
        <v>4388</v>
      </c>
    </row>
    <row r="34" spans="1:25" x14ac:dyDescent="0.25">
      <c r="A34" s="36" t="s">
        <v>24</v>
      </c>
      <c r="B34" t="s">
        <v>16</v>
      </c>
      <c r="C34" s="46">
        <v>11898</v>
      </c>
      <c r="D34" s="83">
        <v>11154</v>
      </c>
      <c r="E34" s="83">
        <v>10365</v>
      </c>
      <c r="F34" s="83">
        <v>10160</v>
      </c>
      <c r="G34" s="83">
        <v>10129</v>
      </c>
      <c r="H34" s="83">
        <v>10429</v>
      </c>
      <c r="I34" s="83">
        <v>10583</v>
      </c>
      <c r="J34" s="83">
        <v>10070</v>
      </c>
      <c r="K34" s="83">
        <v>9874</v>
      </c>
      <c r="L34" s="47">
        <v>9985</v>
      </c>
    </row>
    <row r="35" spans="1:25" x14ac:dyDescent="0.25">
      <c r="A35" s="36"/>
      <c r="B35" t="s">
        <v>18</v>
      </c>
      <c r="C35" s="46">
        <v>9</v>
      </c>
      <c r="D35" s="83">
        <v>6</v>
      </c>
      <c r="E35" s="83">
        <v>6</v>
      </c>
      <c r="F35" s="83">
        <v>11</v>
      </c>
      <c r="G35" s="83">
        <v>6</v>
      </c>
      <c r="H35" s="83">
        <v>14</v>
      </c>
      <c r="I35" s="83">
        <v>6</v>
      </c>
      <c r="J35" s="83">
        <v>5</v>
      </c>
      <c r="K35" s="83">
        <v>6</v>
      </c>
      <c r="L35" s="47">
        <v>9</v>
      </c>
    </row>
    <row r="36" spans="1:25" x14ac:dyDescent="0.25">
      <c r="A36" s="36"/>
      <c r="B36" t="s">
        <v>20</v>
      </c>
      <c r="C36" s="46">
        <v>8814</v>
      </c>
      <c r="D36" s="83">
        <v>8334</v>
      </c>
      <c r="E36" s="83">
        <v>7952</v>
      </c>
      <c r="F36" s="83">
        <v>7783</v>
      </c>
      <c r="G36" s="83">
        <v>7604</v>
      </c>
      <c r="H36" s="83">
        <v>7139</v>
      </c>
      <c r="I36" s="83">
        <v>7260</v>
      </c>
      <c r="J36" s="83">
        <v>6936</v>
      </c>
      <c r="K36" s="83">
        <v>6821</v>
      </c>
      <c r="L36" s="47">
        <v>7061</v>
      </c>
    </row>
    <row r="37" spans="1:25" x14ac:dyDescent="0.25">
      <c r="A37" s="36"/>
      <c r="B37" t="s">
        <v>22</v>
      </c>
      <c r="C37" s="46">
        <v>3075</v>
      </c>
      <c r="D37" s="83">
        <v>2814</v>
      </c>
      <c r="E37" s="83">
        <v>2407</v>
      </c>
      <c r="F37" s="83">
        <v>2366</v>
      </c>
      <c r="G37" s="83">
        <v>2519</v>
      </c>
      <c r="H37" s="83">
        <v>3276</v>
      </c>
      <c r="I37" s="83">
        <v>3317</v>
      </c>
      <c r="J37" s="83">
        <v>3129</v>
      </c>
      <c r="K37" s="83">
        <v>3047</v>
      </c>
      <c r="L37" s="47">
        <v>2915</v>
      </c>
    </row>
    <row r="38" spans="1:25" x14ac:dyDescent="0.25">
      <c r="A38" s="36" t="s">
        <v>25</v>
      </c>
      <c r="B38" t="s">
        <v>16</v>
      </c>
      <c r="C38" s="46">
        <v>5554</v>
      </c>
      <c r="D38" s="83">
        <v>5327</v>
      </c>
      <c r="E38" s="83">
        <v>4782</v>
      </c>
      <c r="F38" s="83">
        <v>4688</v>
      </c>
      <c r="G38" s="83">
        <v>4651</v>
      </c>
      <c r="H38" s="83">
        <v>4818</v>
      </c>
      <c r="I38" s="83">
        <v>4927</v>
      </c>
      <c r="J38" s="83">
        <v>4542</v>
      </c>
      <c r="K38" s="83">
        <v>4339</v>
      </c>
      <c r="L38" s="47">
        <v>4462</v>
      </c>
    </row>
    <row r="39" spans="1:25" x14ac:dyDescent="0.25">
      <c r="A39" s="36"/>
      <c r="B39" t="s">
        <v>18</v>
      </c>
      <c r="C39" s="46">
        <v>9</v>
      </c>
      <c r="D39" s="83">
        <v>6</v>
      </c>
      <c r="E39" s="83">
        <v>0</v>
      </c>
      <c r="F39" s="83">
        <v>8</v>
      </c>
      <c r="G39" s="83">
        <v>5</v>
      </c>
      <c r="H39" s="83">
        <v>4</v>
      </c>
      <c r="I39" s="83">
        <v>5</v>
      </c>
      <c r="J39" s="83">
        <v>1</v>
      </c>
      <c r="K39" s="83">
        <v>3</v>
      </c>
      <c r="L39" s="47">
        <v>4</v>
      </c>
    </row>
    <row r="40" spans="1:25" x14ac:dyDescent="0.25">
      <c r="A40" s="36"/>
      <c r="B40" t="s">
        <v>20</v>
      </c>
      <c r="C40" s="46">
        <v>4276</v>
      </c>
      <c r="D40" s="83">
        <v>4157</v>
      </c>
      <c r="E40" s="83">
        <v>3737</v>
      </c>
      <c r="F40" s="83">
        <v>3708</v>
      </c>
      <c r="G40" s="83">
        <v>3468</v>
      </c>
      <c r="H40" s="83">
        <v>3266</v>
      </c>
      <c r="I40" s="83">
        <v>3365</v>
      </c>
      <c r="J40" s="83">
        <v>3070</v>
      </c>
      <c r="K40" s="83">
        <v>2990</v>
      </c>
      <c r="L40" s="47">
        <v>3135</v>
      </c>
    </row>
    <row r="41" spans="1:25" x14ac:dyDescent="0.25">
      <c r="A41" s="36"/>
      <c r="B41" t="s">
        <v>22</v>
      </c>
      <c r="C41" s="46">
        <v>1269</v>
      </c>
      <c r="D41" s="83">
        <v>1164</v>
      </c>
      <c r="E41" s="83">
        <v>1045</v>
      </c>
      <c r="F41" s="83">
        <v>972</v>
      </c>
      <c r="G41" s="83">
        <v>1178</v>
      </c>
      <c r="H41" s="83">
        <v>1548</v>
      </c>
      <c r="I41" s="83">
        <v>1557</v>
      </c>
      <c r="J41" s="83">
        <v>1471</v>
      </c>
      <c r="K41" s="83">
        <v>1346</v>
      </c>
      <c r="L41" s="47">
        <v>1323</v>
      </c>
    </row>
    <row r="42" spans="1:25" x14ac:dyDescent="0.25">
      <c r="A42" s="36" t="s">
        <v>26</v>
      </c>
      <c r="B42" t="s">
        <v>16</v>
      </c>
      <c r="C42" s="46">
        <v>1401</v>
      </c>
      <c r="D42" s="83">
        <v>1308</v>
      </c>
      <c r="E42" s="83">
        <v>1190</v>
      </c>
      <c r="F42" s="83">
        <v>1140</v>
      </c>
      <c r="G42" s="83">
        <v>1195</v>
      </c>
      <c r="H42" s="83">
        <v>1236</v>
      </c>
      <c r="I42" s="83">
        <v>1170</v>
      </c>
      <c r="J42" s="83">
        <v>1180</v>
      </c>
      <c r="K42" s="83">
        <v>1121</v>
      </c>
      <c r="L42" s="47">
        <v>1176</v>
      </c>
    </row>
    <row r="43" spans="1:25" x14ac:dyDescent="0.25">
      <c r="A43" s="36"/>
      <c r="B43" t="s">
        <v>18</v>
      </c>
      <c r="C43" s="46">
        <v>2</v>
      </c>
      <c r="D43" s="83">
        <v>3</v>
      </c>
      <c r="E43" s="83">
        <v>1</v>
      </c>
      <c r="F43" s="83">
        <v>2</v>
      </c>
      <c r="G43" s="83">
        <v>2</v>
      </c>
      <c r="H43" s="83">
        <v>0</v>
      </c>
      <c r="I43" s="83">
        <v>1</v>
      </c>
      <c r="J43" s="83">
        <v>0</v>
      </c>
      <c r="K43" s="83">
        <v>3</v>
      </c>
      <c r="L43" s="47">
        <v>0</v>
      </c>
    </row>
    <row r="44" spans="1:25" x14ac:dyDescent="0.25">
      <c r="A44" s="36"/>
      <c r="B44" t="s">
        <v>20</v>
      </c>
      <c r="C44" s="46">
        <v>1032</v>
      </c>
      <c r="D44" s="83">
        <v>963</v>
      </c>
      <c r="E44" s="83">
        <v>892</v>
      </c>
      <c r="F44" s="83">
        <v>891</v>
      </c>
      <c r="G44" s="83">
        <v>868</v>
      </c>
      <c r="H44" s="83">
        <v>871</v>
      </c>
      <c r="I44" s="83">
        <v>788</v>
      </c>
      <c r="J44" s="83">
        <v>801</v>
      </c>
      <c r="K44" s="83">
        <v>758</v>
      </c>
      <c r="L44" s="47">
        <v>797</v>
      </c>
    </row>
    <row r="45" spans="1:25" x14ac:dyDescent="0.25">
      <c r="A45" s="38"/>
      <c r="B45" s="51" t="s">
        <v>22</v>
      </c>
      <c r="C45" s="48">
        <v>367</v>
      </c>
      <c r="D45" s="49">
        <v>342</v>
      </c>
      <c r="E45" s="49">
        <v>297</v>
      </c>
      <c r="F45" s="49">
        <v>247</v>
      </c>
      <c r="G45" s="49">
        <v>325</v>
      </c>
      <c r="H45" s="49">
        <v>365</v>
      </c>
      <c r="I45" s="49">
        <v>381</v>
      </c>
      <c r="J45" s="49">
        <v>379</v>
      </c>
      <c r="K45" s="49">
        <v>360</v>
      </c>
      <c r="L45" s="50">
        <v>379</v>
      </c>
    </row>
    <row r="47" spans="1:25" x14ac:dyDescent="0.25">
      <c r="A47" s="107" t="s">
        <v>27</v>
      </c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N47" s="107" t="s">
        <v>28</v>
      </c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</row>
    <row r="48" spans="1:25" x14ac:dyDescent="0.25">
      <c r="A48" s="40" t="s">
        <v>2</v>
      </c>
      <c r="B48" s="41" t="s">
        <v>29</v>
      </c>
      <c r="C48" s="40" t="s">
        <v>4</v>
      </c>
      <c r="D48" s="42" t="s">
        <v>5</v>
      </c>
      <c r="E48" s="42" t="s">
        <v>6</v>
      </c>
      <c r="F48" s="42" t="s">
        <v>7</v>
      </c>
      <c r="G48" s="42" t="s">
        <v>8</v>
      </c>
      <c r="H48" s="42" t="s">
        <v>9</v>
      </c>
      <c r="I48" s="42" t="s">
        <v>10</v>
      </c>
      <c r="J48" s="42" t="s">
        <v>11</v>
      </c>
      <c r="K48" s="42" t="s">
        <v>12</v>
      </c>
      <c r="L48" s="41" t="s">
        <v>13</v>
      </c>
      <c r="N48" s="40" t="s">
        <v>2</v>
      </c>
      <c r="O48" s="41" t="s">
        <v>3</v>
      </c>
      <c r="P48" s="40" t="s">
        <v>4</v>
      </c>
      <c r="Q48" s="42" t="s">
        <v>5</v>
      </c>
      <c r="R48" s="42" t="s">
        <v>6</v>
      </c>
      <c r="S48" s="42" t="s">
        <v>7</v>
      </c>
      <c r="T48" s="42" t="s">
        <v>8</v>
      </c>
      <c r="U48" s="42" t="s">
        <v>9</v>
      </c>
      <c r="V48" s="42" t="s">
        <v>10</v>
      </c>
      <c r="W48" s="42" t="s">
        <v>11</v>
      </c>
      <c r="X48" s="42" t="s">
        <v>12</v>
      </c>
      <c r="Y48" s="41" t="s">
        <v>13</v>
      </c>
    </row>
    <row r="49" spans="1:25" x14ac:dyDescent="0.25">
      <c r="A49" s="80" t="s">
        <v>15</v>
      </c>
      <c r="B49" s="82" t="s">
        <v>16</v>
      </c>
      <c r="C49" s="80">
        <v>3954</v>
      </c>
      <c r="D49" s="81">
        <v>4163</v>
      </c>
      <c r="E49" s="81">
        <v>4378</v>
      </c>
      <c r="F49" s="81">
        <v>4782</v>
      </c>
      <c r="G49" s="81">
        <v>4863</v>
      </c>
      <c r="H49" s="81">
        <v>4835</v>
      </c>
      <c r="I49" s="81">
        <v>4676</v>
      </c>
      <c r="J49" s="81">
        <v>4701</v>
      </c>
      <c r="K49" s="81">
        <v>4866</v>
      </c>
      <c r="L49" s="82">
        <v>4750</v>
      </c>
      <c r="N49" s="36" t="s">
        <v>15</v>
      </c>
      <c r="O49" s="37" t="s">
        <v>16</v>
      </c>
      <c r="P49" s="80">
        <v>39385</v>
      </c>
      <c r="Q49" s="81">
        <v>37717</v>
      </c>
      <c r="R49" s="81">
        <v>36884</v>
      </c>
      <c r="S49" s="81">
        <v>36340</v>
      </c>
      <c r="T49" s="81">
        <v>35014</v>
      </c>
      <c r="U49" s="81">
        <v>32354</v>
      </c>
      <c r="V49" s="81">
        <v>30809</v>
      </c>
      <c r="W49" s="81">
        <v>29685</v>
      </c>
      <c r="X49" s="81">
        <v>29494</v>
      </c>
      <c r="Y49" s="82">
        <v>28537</v>
      </c>
    </row>
    <row r="50" spans="1:25" x14ac:dyDescent="0.25">
      <c r="A50" s="36"/>
      <c r="B50" s="37" t="s">
        <v>18</v>
      </c>
      <c r="C50" s="36">
        <v>1</v>
      </c>
      <c r="D50">
        <v>1</v>
      </c>
      <c r="E50">
        <v>2</v>
      </c>
      <c r="F50">
        <v>1</v>
      </c>
      <c r="G50">
        <v>1</v>
      </c>
      <c r="H50">
        <v>2</v>
      </c>
      <c r="I50">
        <v>0</v>
      </c>
      <c r="J50">
        <v>4</v>
      </c>
      <c r="K50">
        <v>9</v>
      </c>
      <c r="L50" s="37">
        <v>10</v>
      </c>
      <c r="N50" s="36"/>
      <c r="O50" s="37" t="s">
        <v>18</v>
      </c>
      <c r="P50" s="36">
        <v>20</v>
      </c>
      <c r="Q50">
        <v>15</v>
      </c>
      <c r="R50">
        <v>15</v>
      </c>
      <c r="S50">
        <v>27</v>
      </c>
      <c r="T50">
        <v>19</v>
      </c>
      <c r="U50">
        <v>31</v>
      </c>
      <c r="V50">
        <v>32</v>
      </c>
      <c r="W50">
        <v>24</v>
      </c>
      <c r="X50">
        <v>49</v>
      </c>
      <c r="Y50" s="37">
        <v>55</v>
      </c>
    </row>
    <row r="51" spans="1:25" x14ac:dyDescent="0.25">
      <c r="A51" s="36"/>
      <c r="B51" s="37" t="s">
        <v>20</v>
      </c>
      <c r="C51" s="36">
        <v>1546</v>
      </c>
      <c r="D51">
        <v>1590</v>
      </c>
      <c r="E51">
        <v>1587</v>
      </c>
      <c r="F51">
        <v>1734</v>
      </c>
      <c r="G51">
        <v>1767</v>
      </c>
      <c r="H51">
        <v>1862</v>
      </c>
      <c r="I51">
        <v>1783</v>
      </c>
      <c r="J51">
        <v>1718</v>
      </c>
      <c r="K51">
        <v>1848</v>
      </c>
      <c r="L51" s="37">
        <v>1928</v>
      </c>
      <c r="N51" s="36"/>
      <c r="O51" s="37" t="s">
        <v>20</v>
      </c>
      <c r="P51" s="36">
        <v>26030</v>
      </c>
      <c r="Q51">
        <v>23850</v>
      </c>
      <c r="R51">
        <v>22750</v>
      </c>
      <c r="S51">
        <v>22012</v>
      </c>
      <c r="T51">
        <v>21151</v>
      </c>
      <c r="U51">
        <v>19945</v>
      </c>
      <c r="V51">
        <v>19615</v>
      </c>
      <c r="W51">
        <v>18972</v>
      </c>
      <c r="X51">
        <v>19268</v>
      </c>
      <c r="Y51" s="37">
        <v>19133</v>
      </c>
    </row>
    <row r="52" spans="1:25" x14ac:dyDescent="0.25">
      <c r="A52" s="36"/>
      <c r="B52" s="37" t="s">
        <v>22</v>
      </c>
      <c r="C52" s="36">
        <v>2407</v>
      </c>
      <c r="D52">
        <v>2572</v>
      </c>
      <c r="E52">
        <v>2789</v>
      </c>
      <c r="F52">
        <v>3047</v>
      </c>
      <c r="G52">
        <v>3095</v>
      </c>
      <c r="H52">
        <v>2971</v>
      </c>
      <c r="I52">
        <v>2893</v>
      </c>
      <c r="J52">
        <v>2979</v>
      </c>
      <c r="K52">
        <v>3009</v>
      </c>
      <c r="L52" s="37">
        <v>2812</v>
      </c>
      <c r="N52" s="36"/>
      <c r="O52" s="37" t="s">
        <v>22</v>
      </c>
      <c r="P52" s="36">
        <v>13335</v>
      </c>
      <c r="Q52">
        <v>13852</v>
      </c>
      <c r="R52">
        <v>14119</v>
      </c>
      <c r="S52">
        <v>14301</v>
      </c>
      <c r="T52">
        <v>13844</v>
      </c>
      <c r="U52">
        <v>12378</v>
      </c>
      <c r="V52">
        <v>11162</v>
      </c>
      <c r="W52">
        <v>10689</v>
      </c>
      <c r="X52">
        <v>10177</v>
      </c>
      <c r="Y52" s="37">
        <v>9349</v>
      </c>
    </row>
    <row r="53" spans="1:25" x14ac:dyDescent="0.25">
      <c r="A53" s="36" t="s">
        <v>23</v>
      </c>
      <c r="B53" s="37" t="s">
        <v>16</v>
      </c>
      <c r="C53" s="36">
        <v>2138</v>
      </c>
      <c r="D53">
        <v>2246</v>
      </c>
      <c r="E53">
        <v>2279</v>
      </c>
      <c r="F53">
        <v>2497</v>
      </c>
      <c r="G53">
        <v>2521</v>
      </c>
      <c r="H53">
        <v>2452</v>
      </c>
      <c r="I53">
        <v>2423</v>
      </c>
      <c r="J53">
        <v>2462</v>
      </c>
      <c r="K53">
        <v>2508</v>
      </c>
      <c r="L53" s="37">
        <v>2469</v>
      </c>
      <c r="N53" s="36" t="s">
        <v>23</v>
      </c>
      <c r="O53" s="37" t="s">
        <v>16</v>
      </c>
      <c r="P53" s="36">
        <v>19012</v>
      </c>
      <c r="Q53">
        <v>18174</v>
      </c>
      <c r="R53">
        <v>17809</v>
      </c>
      <c r="S53">
        <v>17564</v>
      </c>
      <c r="T53">
        <v>16886</v>
      </c>
      <c r="U53">
        <v>15506</v>
      </c>
      <c r="V53">
        <v>14761</v>
      </c>
      <c r="W53">
        <v>14117</v>
      </c>
      <c r="X53">
        <v>14109</v>
      </c>
      <c r="Y53" s="37">
        <v>13738</v>
      </c>
    </row>
    <row r="54" spans="1:25" x14ac:dyDescent="0.25">
      <c r="A54" s="36"/>
      <c r="B54" s="37" t="s">
        <v>18</v>
      </c>
      <c r="C54" s="36">
        <v>1</v>
      </c>
      <c r="D54">
        <v>1</v>
      </c>
      <c r="E54">
        <v>2</v>
      </c>
      <c r="F54">
        <v>1</v>
      </c>
      <c r="G54">
        <v>0</v>
      </c>
      <c r="H54">
        <v>1</v>
      </c>
      <c r="I54">
        <v>0</v>
      </c>
      <c r="J54">
        <v>0</v>
      </c>
      <c r="K54">
        <v>5</v>
      </c>
      <c r="L54" s="37">
        <v>4</v>
      </c>
      <c r="N54" s="36"/>
      <c r="O54" s="37" t="s">
        <v>18</v>
      </c>
      <c r="P54" s="36">
        <v>8</v>
      </c>
      <c r="Q54">
        <v>8</v>
      </c>
      <c r="R54">
        <v>8</v>
      </c>
      <c r="S54">
        <v>17</v>
      </c>
      <c r="T54">
        <v>10</v>
      </c>
      <c r="U54">
        <v>14</v>
      </c>
      <c r="V54">
        <v>17</v>
      </c>
      <c r="W54">
        <v>10</v>
      </c>
      <c r="X54">
        <v>28</v>
      </c>
      <c r="Y54" s="37">
        <v>20</v>
      </c>
    </row>
    <row r="55" spans="1:25" x14ac:dyDescent="0.25">
      <c r="A55" s="36"/>
      <c r="B55" s="37" t="s">
        <v>20</v>
      </c>
      <c r="C55" s="36">
        <v>874</v>
      </c>
      <c r="D55">
        <v>902</v>
      </c>
      <c r="E55">
        <v>836</v>
      </c>
      <c r="F55">
        <v>929</v>
      </c>
      <c r="G55">
        <v>954</v>
      </c>
      <c r="H55">
        <v>988</v>
      </c>
      <c r="I55">
        <v>962</v>
      </c>
      <c r="J55">
        <v>909</v>
      </c>
      <c r="K55">
        <v>1010</v>
      </c>
      <c r="L55" s="37">
        <v>1019</v>
      </c>
      <c r="N55" s="36"/>
      <c r="O55" s="37" t="s">
        <v>20</v>
      </c>
      <c r="P55" s="36">
        <v>12252</v>
      </c>
      <c r="Q55">
        <v>11181</v>
      </c>
      <c r="R55">
        <v>10682</v>
      </c>
      <c r="S55">
        <v>10318</v>
      </c>
      <c r="T55">
        <v>9962</v>
      </c>
      <c r="U55">
        <v>9339</v>
      </c>
      <c r="V55">
        <v>9198</v>
      </c>
      <c r="W55">
        <v>8804</v>
      </c>
      <c r="X55">
        <v>9093</v>
      </c>
      <c r="Y55" s="37">
        <v>8999</v>
      </c>
    </row>
    <row r="56" spans="1:25" x14ac:dyDescent="0.25">
      <c r="A56" s="36"/>
      <c r="B56" s="37" t="s">
        <v>22</v>
      </c>
      <c r="C56" s="36">
        <v>1263</v>
      </c>
      <c r="D56">
        <v>1343</v>
      </c>
      <c r="E56">
        <v>1441</v>
      </c>
      <c r="F56">
        <v>1567</v>
      </c>
      <c r="G56">
        <v>1567</v>
      </c>
      <c r="H56">
        <v>1463</v>
      </c>
      <c r="I56">
        <v>1461</v>
      </c>
      <c r="J56">
        <v>1553</v>
      </c>
      <c r="K56">
        <v>1493</v>
      </c>
      <c r="L56" s="37">
        <v>1446</v>
      </c>
      <c r="N56" s="36"/>
      <c r="O56" s="37" t="s">
        <v>22</v>
      </c>
      <c r="P56" s="36">
        <v>6752</v>
      </c>
      <c r="Q56">
        <v>6985</v>
      </c>
      <c r="R56">
        <v>7119</v>
      </c>
      <c r="S56">
        <v>7229</v>
      </c>
      <c r="T56">
        <v>6914</v>
      </c>
      <c r="U56">
        <v>6153</v>
      </c>
      <c r="V56">
        <v>5546</v>
      </c>
      <c r="W56">
        <v>5303</v>
      </c>
      <c r="X56">
        <v>4988</v>
      </c>
      <c r="Y56" s="37">
        <v>4719</v>
      </c>
    </row>
    <row r="57" spans="1:25" x14ac:dyDescent="0.25">
      <c r="A57" s="36" t="s">
        <v>24</v>
      </c>
      <c r="B57" s="37" t="s">
        <v>16</v>
      </c>
      <c r="C57" s="36">
        <v>1064</v>
      </c>
      <c r="D57">
        <v>1156</v>
      </c>
      <c r="E57">
        <v>1273</v>
      </c>
      <c r="F57">
        <v>1395</v>
      </c>
      <c r="G57">
        <v>1429</v>
      </c>
      <c r="H57">
        <v>1447</v>
      </c>
      <c r="I57">
        <v>1393</v>
      </c>
      <c r="J57">
        <v>1386</v>
      </c>
      <c r="K57">
        <v>1433</v>
      </c>
      <c r="L57" s="37">
        <v>1362</v>
      </c>
      <c r="N57" s="36" t="s">
        <v>24</v>
      </c>
      <c r="O57" s="37" t="s">
        <v>16</v>
      </c>
      <c r="P57" s="36">
        <v>12934</v>
      </c>
      <c r="Q57">
        <v>12379</v>
      </c>
      <c r="R57">
        <v>12202</v>
      </c>
      <c r="S57">
        <v>12175</v>
      </c>
      <c r="T57">
        <v>11557</v>
      </c>
      <c r="U57">
        <v>10963</v>
      </c>
      <c r="V57">
        <v>10400</v>
      </c>
      <c r="W57">
        <v>10078</v>
      </c>
      <c r="X57">
        <v>10001</v>
      </c>
      <c r="Y57" s="37">
        <v>9457</v>
      </c>
    </row>
    <row r="58" spans="1:25" x14ac:dyDescent="0.25">
      <c r="A58" s="36"/>
      <c r="B58" s="37" t="s">
        <v>18</v>
      </c>
      <c r="C58" s="36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3</v>
      </c>
      <c r="K58">
        <v>3</v>
      </c>
      <c r="L58" s="37">
        <v>2</v>
      </c>
      <c r="N58" s="36"/>
      <c r="O58" s="37" t="s">
        <v>18</v>
      </c>
      <c r="P58" s="36">
        <v>7</v>
      </c>
      <c r="Q58">
        <v>2</v>
      </c>
      <c r="R58">
        <v>4</v>
      </c>
      <c r="S58">
        <v>3</v>
      </c>
      <c r="T58">
        <v>5</v>
      </c>
      <c r="U58">
        <v>10</v>
      </c>
      <c r="V58">
        <v>7</v>
      </c>
      <c r="W58">
        <v>12</v>
      </c>
      <c r="X58">
        <v>13</v>
      </c>
      <c r="Y58" s="37">
        <v>19</v>
      </c>
    </row>
    <row r="59" spans="1:25" x14ac:dyDescent="0.25">
      <c r="A59" s="36"/>
      <c r="B59" s="37" t="s">
        <v>20</v>
      </c>
      <c r="C59" s="36">
        <v>368</v>
      </c>
      <c r="D59">
        <v>402</v>
      </c>
      <c r="E59">
        <v>439</v>
      </c>
      <c r="F59">
        <v>472</v>
      </c>
      <c r="G59">
        <v>486</v>
      </c>
      <c r="H59">
        <v>506</v>
      </c>
      <c r="I59">
        <v>496</v>
      </c>
      <c r="J59">
        <v>505</v>
      </c>
      <c r="K59">
        <v>498</v>
      </c>
      <c r="L59" s="37">
        <v>523</v>
      </c>
      <c r="N59" s="36"/>
      <c r="O59" s="37" t="s">
        <v>20</v>
      </c>
      <c r="P59" s="36">
        <v>8846</v>
      </c>
      <c r="Q59">
        <v>8043</v>
      </c>
      <c r="R59">
        <v>7862</v>
      </c>
      <c r="S59">
        <v>7686</v>
      </c>
      <c r="T59">
        <v>7191</v>
      </c>
      <c r="U59">
        <v>7015</v>
      </c>
      <c r="V59">
        <v>6857</v>
      </c>
      <c r="W59">
        <v>6700</v>
      </c>
      <c r="X59">
        <v>6679</v>
      </c>
      <c r="Y59" s="37">
        <v>6523</v>
      </c>
    </row>
    <row r="60" spans="1:25" x14ac:dyDescent="0.25">
      <c r="A60" s="36"/>
      <c r="B60" s="37" t="s">
        <v>22</v>
      </c>
      <c r="C60" s="36">
        <v>696</v>
      </c>
      <c r="D60">
        <v>754</v>
      </c>
      <c r="E60">
        <v>834</v>
      </c>
      <c r="F60">
        <v>923</v>
      </c>
      <c r="G60">
        <v>942</v>
      </c>
      <c r="H60">
        <v>940</v>
      </c>
      <c r="I60">
        <v>897</v>
      </c>
      <c r="J60">
        <v>878</v>
      </c>
      <c r="K60">
        <v>932</v>
      </c>
      <c r="L60" s="37">
        <v>837</v>
      </c>
      <c r="N60" s="36"/>
      <c r="O60" s="37" t="s">
        <v>22</v>
      </c>
      <c r="P60" s="36">
        <v>4081</v>
      </c>
      <c r="Q60">
        <v>4334</v>
      </c>
      <c r="R60">
        <v>4336</v>
      </c>
      <c r="S60">
        <v>4486</v>
      </c>
      <c r="T60">
        <v>4361</v>
      </c>
      <c r="U60">
        <v>3938</v>
      </c>
      <c r="V60">
        <v>3536</v>
      </c>
      <c r="W60">
        <v>3366</v>
      </c>
      <c r="X60">
        <v>3309</v>
      </c>
      <c r="Y60" s="37">
        <v>2915</v>
      </c>
    </row>
    <row r="61" spans="1:25" x14ac:dyDescent="0.25">
      <c r="A61" s="36" t="s">
        <v>25</v>
      </c>
      <c r="B61" s="37" t="s">
        <v>16</v>
      </c>
      <c r="C61" s="36">
        <v>652</v>
      </c>
      <c r="D61">
        <v>659</v>
      </c>
      <c r="E61">
        <v>727</v>
      </c>
      <c r="F61">
        <v>750</v>
      </c>
      <c r="G61">
        <v>777</v>
      </c>
      <c r="H61">
        <v>789</v>
      </c>
      <c r="I61">
        <v>727</v>
      </c>
      <c r="J61">
        <v>727</v>
      </c>
      <c r="K61">
        <v>782</v>
      </c>
      <c r="L61" s="37">
        <v>749</v>
      </c>
      <c r="N61" s="36" t="s">
        <v>25</v>
      </c>
      <c r="O61" s="37" t="s">
        <v>16</v>
      </c>
      <c r="P61" s="36">
        <v>5850</v>
      </c>
      <c r="Q61">
        <v>5684</v>
      </c>
      <c r="R61">
        <v>5425</v>
      </c>
      <c r="S61">
        <v>5242</v>
      </c>
      <c r="T61">
        <v>5106</v>
      </c>
      <c r="U61">
        <v>4630</v>
      </c>
      <c r="V61">
        <v>4401</v>
      </c>
      <c r="W61">
        <v>4250</v>
      </c>
      <c r="X61">
        <v>4191</v>
      </c>
      <c r="Y61" s="37">
        <v>4175</v>
      </c>
    </row>
    <row r="62" spans="1:25" x14ac:dyDescent="0.25">
      <c r="A62" s="36"/>
      <c r="B62" s="37" t="s">
        <v>18</v>
      </c>
      <c r="C62" s="36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 s="37">
        <v>3</v>
      </c>
      <c r="N62" s="36"/>
      <c r="O62" s="37" t="s">
        <v>18</v>
      </c>
      <c r="P62" s="36">
        <v>2</v>
      </c>
      <c r="Q62">
        <v>4</v>
      </c>
      <c r="R62">
        <v>2</v>
      </c>
      <c r="S62">
        <v>5</v>
      </c>
      <c r="T62">
        <v>4</v>
      </c>
      <c r="U62">
        <v>6</v>
      </c>
      <c r="V62">
        <v>6</v>
      </c>
      <c r="W62">
        <v>2</v>
      </c>
      <c r="X62">
        <v>6</v>
      </c>
      <c r="Y62" s="37">
        <v>15</v>
      </c>
    </row>
    <row r="63" spans="1:25" x14ac:dyDescent="0.25">
      <c r="A63" s="36"/>
      <c r="B63" s="37" t="s">
        <v>20</v>
      </c>
      <c r="C63" s="36">
        <v>270</v>
      </c>
      <c r="D63">
        <v>251</v>
      </c>
      <c r="E63">
        <v>282</v>
      </c>
      <c r="F63">
        <v>291</v>
      </c>
      <c r="G63">
        <v>283</v>
      </c>
      <c r="H63">
        <v>322</v>
      </c>
      <c r="I63">
        <v>280</v>
      </c>
      <c r="J63">
        <v>262</v>
      </c>
      <c r="K63">
        <v>291</v>
      </c>
      <c r="L63" s="37">
        <v>324</v>
      </c>
      <c r="N63" s="36"/>
      <c r="O63" s="37" t="s">
        <v>20</v>
      </c>
      <c r="P63" s="36">
        <v>3711</v>
      </c>
      <c r="Q63">
        <v>3556</v>
      </c>
      <c r="R63">
        <v>3209</v>
      </c>
      <c r="S63">
        <v>3097</v>
      </c>
      <c r="T63">
        <v>2986</v>
      </c>
      <c r="U63">
        <v>2753</v>
      </c>
      <c r="V63">
        <v>2696</v>
      </c>
      <c r="W63">
        <v>2585</v>
      </c>
      <c r="X63">
        <v>2621</v>
      </c>
      <c r="Y63" s="37">
        <v>2744</v>
      </c>
    </row>
    <row r="64" spans="1:25" x14ac:dyDescent="0.25">
      <c r="A64" s="36"/>
      <c r="B64" s="37" t="s">
        <v>22</v>
      </c>
      <c r="C64" s="36">
        <v>382</v>
      </c>
      <c r="D64">
        <v>408</v>
      </c>
      <c r="E64">
        <v>445</v>
      </c>
      <c r="F64">
        <v>459</v>
      </c>
      <c r="G64">
        <v>494</v>
      </c>
      <c r="H64">
        <v>467</v>
      </c>
      <c r="I64">
        <v>447</v>
      </c>
      <c r="J64">
        <v>464</v>
      </c>
      <c r="K64">
        <v>490</v>
      </c>
      <c r="L64" s="37">
        <v>422</v>
      </c>
      <c r="N64" s="36"/>
      <c r="O64" s="37" t="s">
        <v>22</v>
      </c>
      <c r="P64" s="36">
        <v>2137</v>
      </c>
      <c r="Q64">
        <v>2124</v>
      </c>
      <c r="R64">
        <v>2214</v>
      </c>
      <c r="S64">
        <v>2140</v>
      </c>
      <c r="T64">
        <v>2116</v>
      </c>
      <c r="U64">
        <v>1871</v>
      </c>
      <c r="V64">
        <v>1699</v>
      </c>
      <c r="W64">
        <v>1663</v>
      </c>
      <c r="X64">
        <v>1564</v>
      </c>
      <c r="Y64" s="37">
        <v>1416</v>
      </c>
    </row>
    <row r="65" spans="1:25" x14ac:dyDescent="0.25">
      <c r="A65" s="36" t="s">
        <v>26</v>
      </c>
      <c r="B65" s="37" t="s">
        <v>16</v>
      </c>
      <c r="C65" s="36">
        <v>100</v>
      </c>
      <c r="D65">
        <v>102</v>
      </c>
      <c r="E65">
        <v>99</v>
      </c>
      <c r="F65">
        <v>140</v>
      </c>
      <c r="G65">
        <v>136</v>
      </c>
      <c r="H65">
        <v>147</v>
      </c>
      <c r="I65">
        <v>133</v>
      </c>
      <c r="J65">
        <v>126</v>
      </c>
      <c r="K65">
        <v>143</v>
      </c>
      <c r="L65" s="37">
        <v>170</v>
      </c>
      <c r="N65" s="36" t="s">
        <v>26</v>
      </c>
      <c r="O65" s="37" t="s">
        <v>16</v>
      </c>
      <c r="P65" s="36">
        <v>1589</v>
      </c>
      <c r="Q65">
        <v>1481</v>
      </c>
      <c r="R65">
        <v>1448</v>
      </c>
      <c r="S65">
        <v>1359</v>
      </c>
      <c r="T65">
        <v>1465</v>
      </c>
      <c r="U65">
        <v>1255</v>
      </c>
      <c r="V65">
        <v>1247</v>
      </c>
      <c r="W65">
        <v>1240</v>
      </c>
      <c r="X65">
        <v>1195</v>
      </c>
      <c r="Y65" s="37">
        <v>1167</v>
      </c>
    </row>
    <row r="66" spans="1:25" x14ac:dyDescent="0.25">
      <c r="A66" s="36"/>
      <c r="B66" s="37" t="s">
        <v>18</v>
      </c>
      <c r="C66" s="3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37">
        <v>1</v>
      </c>
      <c r="N66" s="36"/>
      <c r="O66" s="37" t="s">
        <v>18</v>
      </c>
      <c r="P66" s="36">
        <v>3</v>
      </c>
      <c r="Q66">
        <v>1</v>
      </c>
      <c r="R66">
        <v>1</v>
      </c>
      <c r="S66">
        <v>2</v>
      </c>
      <c r="T66">
        <v>0</v>
      </c>
      <c r="U66">
        <v>1</v>
      </c>
      <c r="V66">
        <v>2</v>
      </c>
      <c r="W66">
        <v>0</v>
      </c>
      <c r="X66">
        <v>2</v>
      </c>
      <c r="Y66" s="37">
        <v>1</v>
      </c>
    </row>
    <row r="67" spans="1:25" x14ac:dyDescent="0.25">
      <c r="A67" s="36"/>
      <c r="B67" s="37" t="s">
        <v>20</v>
      </c>
      <c r="C67" s="36">
        <v>34</v>
      </c>
      <c r="D67">
        <v>35</v>
      </c>
      <c r="E67">
        <v>30</v>
      </c>
      <c r="F67">
        <v>42</v>
      </c>
      <c r="G67">
        <v>44</v>
      </c>
      <c r="H67">
        <v>46</v>
      </c>
      <c r="I67">
        <v>45</v>
      </c>
      <c r="J67">
        <v>42</v>
      </c>
      <c r="K67">
        <v>49</v>
      </c>
      <c r="L67" s="37">
        <v>62</v>
      </c>
      <c r="N67" s="36"/>
      <c r="O67" s="37" t="s">
        <v>20</v>
      </c>
      <c r="P67" s="36">
        <v>1221</v>
      </c>
      <c r="Q67">
        <v>1070</v>
      </c>
      <c r="R67">
        <v>997</v>
      </c>
      <c r="S67">
        <v>911</v>
      </c>
      <c r="T67">
        <v>1012</v>
      </c>
      <c r="U67">
        <v>838</v>
      </c>
      <c r="V67">
        <v>864</v>
      </c>
      <c r="W67">
        <v>883</v>
      </c>
      <c r="X67">
        <v>877</v>
      </c>
      <c r="Y67" s="37">
        <v>867</v>
      </c>
    </row>
    <row r="68" spans="1:25" x14ac:dyDescent="0.25">
      <c r="A68" s="38"/>
      <c r="B68" s="39" t="s">
        <v>22</v>
      </c>
      <c r="C68" s="38">
        <v>66</v>
      </c>
      <c r="D68" s="51">
        <v>67</v>
      </c>
      <c r="E68" s="51">
        <v>69</v>
      </c>
      <c r="F68" s="51">
        <v>98</v>
      </c>
      <c r="G68" s="51">
        <v>92</v>
      </c>
      <c r="H68" s="51">
        <v>101</v>
      </c>
      <c r="I68" s="51">
        <v>88</v>
      </c>
      <c r="J68" s="51">
        <v>84</v>
      </c>
      <c r="K68" s="51">
        <v>94</v>
      </c>
      <c r="L68" s="39">
        <v>107</v>
      </c>
      <c r="N68" s="38"/>
      <c r="O68" s="39" t="s">
        <v>22</v>
      </c>
      <c r="P68" s="38">
        <v>365</v>
      </c>
      <c r="Q68" s="51">
        <v>410</v>
      </c>
      <c r="R68" s="51">
        <v>450</v>
      </c>
      <c r="S68" s="51">
        <v>446</v>
      </c>
      <c r="T68" s="51">
        <v>453</v>
      </c>
      <c r="U68" s="51">
        <v>416</v>
      </c>
      <c r="V68" s="51">
        <v>381</v>
      </c>
      <c r="W68" s="51">
        <v>357</v>
      </c>
      <c r="X68" s="51">
        <v>316</v>
      </c>
      <c r="Y68" s="39">
        <v>299</v>
      </c>
    </row>
    <row r="70" spans="1:25" x14ac:dyDescent="0.25">
      <c r="A70" s="109" t="s">
        <v>30</v>
      </c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N70" s="107" t="s">
        <v>31</v>
      </c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</row>
    <row r="71" spans="1:25" x14ac:dyDescent="0.25">
      <c r="A71" s="40" t="s">
        <v>2</v>
      </c>
      <c r="B71" s="41" t="s">
        <v>3</v>
      </c>
      <c r="C71" s="40" t="s">
        <v>4</v>
      </c>
      <c r="D71" s="42" t="s">
        <v>5</v>
      </c>
      <c r="E71" s="42" t="s">
        <v>6</v>
      </c>
      <c r="F71" s="42" t="s">
        <v>7</v>
      </c>
      <c r="G71" s="42" t="s">
        <v>8</v>
      </c>
      <c r="H71" s="42" t="s">
        <v>9</v>
      </c>
      <c r="I71" s="42" t="s">
        <v>10</v>
      </c>
      <c r="J71" s="42" t="s">
        <v>11</v>
      </c>
      <c r="K71" s="42" t="s">
        <v>12</v>
      </c>
      <c r="L71" s="41" t="s">
        <v>13</v>
      </c>
      <c r="N71" s="40" t="s">
        <v>2</v>
      </c>
      <c r="O71" s="41" t="s">
        <v>3</v>
      </c>
      <c r="P71" s="40" t="s">
        <v>4</v>
      </c>
      <c r="Q71" s="42" t="s">
        <v>5</v>
      </c>
      <c r="R71" s="42" t="s">
        <v>6</v>
      </c>
      <c r="S71" s="42" t="s">
        <v>7</v>
      </c>
      <c r="T71" s="42" t="s">
        <v>8</v>
      </c>
      <c r="U71" s="42" t="s">
        <v>9</v>
      </c>
      <c r="V71" s="42" t="s">
        <v>10</v>
      </c>
      <c r="W71" s="42" t="s">
        <v>11</v>
      </c>
      <c r="X71" s="42" t="s">
        <v>12</v>
      </c>
      <c r="Y71" s="41" t="s">
        <v>13</v>
      </c>
    </row>
    <row r="72" spans="1:25" x14ac:dyDescent="0.25">
      <c r="A72" s="36" t="s">
        <v>15</v>
      </c>
      <c r="B72" s="37" t="s">
        <v>16</v>
      </c>
      <c r="C72" s="36">
        <v>23301</v>
      </c>
      <c r="D72">
        <v>21071</v>
      </c>
      <c r="E72">
        <v>19749</v>
      </c>
      <c r="F72">
        <v>18956</v>
      </c>
      <c r="G72">
        <v>17756</v>
      </c>
      <c r="H72">
        <v>16759</v>
      </c>
      <c r="I72">
        <v>16329</v>
      </c>
      <c r="J72">
        <v>15864</v>
      </c>
      <c r="K72">
        <v>16081</v>
      </c>
      <c r="L72" s="37">
        <v>15926</v>
      </c>
      <c r="N72" s="36" t="s">
        <v>15</v>
      </c>
      <c r="O72" s="37" t="s">
        <v>16</v>
      </c>
      <c r="P72" s="80">
        <f>P49-C49-C72</f>
        <v>12130</v>
      </c>
      <c r="Q72" s="81">
        <f t="shared" ref="Q72:Y72" si="0">Q49-D49-D72</f>
        <v>12483</v>
      </c>
      <c r="R72" s="81">
        <f t="shared" si="0"/>
        <v>12757</v>
      </c>
      <c r="S72" s="81">
        <f t="shared" si="0"/>
        <v>12602</v>
      </c>
      <c r="T72" s="81">
        <f t="shared" si="0"/>
        <v>12395</v>
      </c>
      <c r="U72" s="81">
        <f t="shared" si="0"/>
        <v>10760</v>
      </c>
      <c r="V72" s="81">
        <f t="shared" si="0"/>
        <v>9804</v>
      </c>
      <c r="W72" s="81">
        <f t="shared" si="0"/>
        <v>9120</v>
      </c>
      <c r="X72" s="81">
        <f t="shared" si="0"/>
        <v>8547</v>
      </c>
      <c r="Y72" s="82">
        <f t="shared" si="0"/>
        <v>7861</v>
      </c>
    </row>
    <row r="73" spans="1:25" x14ac:dyDescent="0.25">
      <c r="A73" s="36"/>
      <c r="B73" s="37" t="s">
        <v>18</v>
      </c>
      <c r="C73" s="36">
        <v>17</v>
      </c>
      <c r="D73">
        <v>13</v>
      </c>
      <c r="E73">
        <v>11</v>
      </c>
      <c r="F73">
        <v>18</v>
      </c>
      <c r="G73">
        <v>16</v>
      </c>
      <c r="H73">
        <v>24</v>
      </c>
      <c r="I73">
        <v>28</v>
      </c>
      <c r="J73">
        <v>17</v>
      </c>
      <c r="K73">
        <v>32</v>
      </c>
      <c r="L73" s="37">
        <v>36</v>
      </c>
      <c r="N73" s="36"/>
      <c r="O73" s="37" t="s">
        <v>18</v>
      </c>
      <c r="P73" s="36">
        <f t="shared" ref="P73:P91" si="1">P50-C50-C73</f>
        <v>2</v>
      </c>
      <c r="Q73">
        <f t="shared" ref="Q73:Q91" si="2">Q50-D50-D73</f>
        <v>1</v>
      </c>
      <c r="R73">
        <f t="shared" ref="R73:R91" si="3">R50-E50-E73</f>
        <v>2</v>
      </c>
      <c r="S73">
        <f t="shared" ref="S73:S91" si="4">S50-F50-F73</f>
        <v>8</v>
      </c>
      <c r="T73">
        <f t="shared" ref="T73:T91" si="5">T50-G50-G73</f>
        <v>2</v>
      </c>
      <c r="U73">
        <f t="shared" ref="U73:U91" si="6">U50-H50-H73</f>
        <v>5</v>
      </c>
      <c r="V73">
        <f t="shared" ref="V73:V91" si="7">V50-I50-I73</f>
        <v>4</v>
      </c>
      <c r="W73">
        <f t="shared" ref="W73:W91" si="8">W50-J50-J73</f>
        <v>3</v>
      </c>
      <c r="X73">
        <f t="shared" ref="X73:X91" si="9">X50-K50-K73</f>
        <v>8</v>
      </c>
      <c r="Y73" s="37">
        <f t="shared" ref="Y73:Y91" si="10">Y50-L50-L73</f>
        <v>9</v>
      </c>
    </row>
    <row r="74" spans="1:25" x14ac:dyDescent="0.25">
      <c r="A74" s="36"/>
      <c r="B74" s="37" t="s">
        <v>20</v>
      </c>
      <c r="C74" s="36">
        <v>21491</v>
      </c>
      <c r="D74">
        <v>19341</v>
      </c>
      <c r="E74">
        <v>18152</v>
      </c>
      <c r="F74">
        <v>17437</v>
      </c>
      <c r="G74">
        <v>16351</v>
      </c>
      <c r="H74">
        <v>15445</v>
      </c>
      <c r="I74">
        <v>15123</v>
      </c>
      <c r="J74">
        <v>14743</v>
      </c>
      <c r="K74">
        <v>14898</v>
      </c>
      <c r="L74" s="37">
        <v>14734</v>
      </c>
      <c r="N74" s="36"/>
      <c r="O74" s="37" t="s">
        <v>20</v>
      </c>
      <c r="P74" s="36">
        <f t="shared" si="1"/>
        <v>2993</v>
      </c>
      <c r="Q74">
        <f t="shared" si="2"/>
        <v>2919</v>
      </c>
      <c r="R74">
        <f t="shared" si="3"/>
        <v>3011</v>
      </c>
      <c r="S74">
        <f t="shared" si="4"/>
        <v>2841</v>
      </c>
      <c r="T74">
        <f t="shared" si="5"/>
        <v>3033</v>
      </c>
      <c r="U74">
        <f t="shared" si="6"/>
        <v>2638</v>
      </c>
      <c r="V74">
        <f t="shared" si="7"/>
        <v>2709</v>
      </c>
      <c r="W74">
        <f t="shared" si="8"/>
        <v>2511</v>
      </c>
      <c r="X74">
        <f t="shared" si="9"/>
        <v>2522</v>
      </c>
      <c r="Y74" s="37">
        <f t="shared" si="10"/>
        <v>2471</v>
      </c>
    </row>
    <row r="75" spans="1:25" x14ac:dyDescent="0.25">
      <c r="A75" s="36"/>
      <c r="B75" s="37" t="s">
        <v>22</v>
      </c>
      <c r="C75" s="36">
        <v>1793</v>
      </c>
      <c r="D75">
        <v>1717</v>
      </c>
      <c r="E75">
        <v>1586</v>
      </c>
      <c r="F75">
        <v>1501</v>
      </c>
      <c r="G75">
        <v>1389</v>
      </c>
      <c r="H75">
        <v>1290</v>
      </c>
      <c r="I75">
        <v>1178</v>
      </c>
      <c r="J75">
        <v>1104</v>
      </c>
      <c r="K75">
        <v>1151</v>
      </c>
      <c r="L75" s="37">
        <v>1156</v>
      </c>
      <c r="N75" s="36"/>
      <c r="O75" s="37" t="s">
        <v>22</v>
      </c>
      <c r="P75" s="36">
        <f t="shared" si="1"/>
        <v>9135</v>
      </c>
      <c r="Q75">
        <f t="shared" si="2"/>
        <v>9563</v>
      </c>
      <c r="R75">
        <f t="shared" si="3"/>
        <v>9744</v>
      </c>
      <c r="S75">
        <f t="shared" si="4"/>
        <v>9753</v>
      </c>
      <c r="T75">
        <f t="shared" si="5"/>
        <v>9360</v>
      </c>
      <c r="U75">
        <f t="shared" si="6"/>
        <v>8117</v>
      </c>
      <c r="V75">
        <f t="shared" si="7"/>
        <v>7091</v>
      </c>
      <c r="W75">
        <f t="shared" si="8"/>
        <v>6606</v>
      </c>
      <c r="X75">
        <f t="shared" si="9"/>
        <v>6017</v>
      </c>
      <c r="Y75" s="37">
        <f t="shared" si="10"/>
        <v>5381</v>
      </c>
    </row>
    <row r="76" spans="1:25" x14ac:dyDescent="0.25">
      <c r="A76" s="36" t="s">
        <v>23</v>
      </c>
      <c r="B76" s="37" t="s">
        <v>16</v>
      </c>
      <c r="C76" s="36">
        <v>10574</v>
      </c>
      <c r="D76">
        <v>9485</v>
      </c>
      <c r="E76">
        <v>8954</v>
      </c>
      <c r="F76">
        <v>8570</v>
      </c>
      <c r="G76">
        <v>8027</v>
      </c>
      <c r="H76">
        <v>7500</v>
      </c>
      <c r="I76">
        <v>7401</v>
      </c>
      <c r="J76">
        <v>7037</v>
      </c>
      <c r="K76">
        <v>7285</v>
      </c>
      <c r="L76" s="37">
        <v>7207</v>
      </c>
      <c r="N76" s="36" t="s">
        <v>23</v>
      </c>
      <c r="O76" s="37" t="s">
        <v>16</v>
      </c>
      <c r="P76" s="36">
        <f t="shared" si="1"/>
        <v>6300</v>
      </c>
      <c r="Q76">
        <f t="shared" si="2"/>
        <v>6443</v>
      </c>
      <c r="R76">
        <f t="shared" si="3"/>
        <v>6576</v>
      </c>
      <c r="S76">
        <f t="shared" si="4"/>
        <v>6497</v>
      </c>
      <c r="T76">
        <f t="shared" si="5"/>
        <v>6338</v>
      </c>
      <c r="U76">
        <f t="shared" si="6"/>
        <v>5554</v>
      </c>
      <c r="V76">
        <f t="shared" si="7"/>
        <v>4937</v>
      </c>
      <c r="W76">
        <f t="shared" si="8"/>
        <v>4618</v>
      </c>
      <c r="X76">
        <f t="shared" si="9"/>
        <v>4316</v>
      </c>
      <c r="Y76" s="37">
        <f t="shared" si="10"/>
        <v>4062</v>
      </c>
    </row>
    <row r="77" spans="1:25" x14ac:dyDescent="0.25">
      <c r="A77" s="36"/>
      <c r="B77" s="37" t="s">
        <v>18</v>
      </c>
      <c r="C77" s="36">
        <v>7</v>
      </c>
      <c r="D77">
        <v>7</v>
      </c>
      <c r="E77">
        <v>4</v>
      </c>
      <c r="F77">
        <v>11</v>
      </c>
      <c r="G77">
        <v>8</v>
      </c>
      <c r="H77">
        <v>8</v>
      </c>
      <c r="I77">
        <v>17</v>
      </c>
      <c r="J77">
        <v>8</v>
      </c>
      <c r="K77">
        <v>18</v>
      </c>
      <c r="L77" s="37">
        <v>12</v>
      </c>
      <c r="N77" s="36"/>
      <c r="O77" s="37" t="s">
        <v>18</v>
      </c>
      <c r="P77" s="36">
        <f t="shared" si="1"/>
        <v>0</v>
      </c>
      <c r="Q77">
        <f t="shared" si="2"/>
        <v>0</v>
      </c>
      <c r="R77">
        <f t="shared" si="3"/>
        <v>2</v>
      </c>
      <c r="S77">
        <f t="shared" si="4"/>
        <v>5</v>
      </c>
      <c r="T77">
        <f t="shared" si="5"/>
        <v>2</v>
      </c>
      <c r="U77">
        <f t="shared" si="6"/>
        <v>5</v>
      </c>
      <c r="V77">
        <f t="shared" si="7"/>
        <v>0</v>
      </c>
      <c r="W77">
        <f t="shared" si="8"/>
        <v>2</v>
      </c>
      <c r="X77">
        <f t="shared" si="9"/>
        <v>5</v>
      </c>
      <c r="Y77" s="37">
        <f t="shared" si="10"/>
        <v>4</v>
      </c>
    </row>
    <row r="78" spans="1:25" x14ac:dyDescent="0.25">
      <c r="A78" s="36"/>
      <c r="B78" s="37" t="s">
        <v>20</v>
      </c>
      <c r="C78" s="36">
        <v>9814</v>
      </c>
      <c r="D78">
        <v>8761</v>
      </c>
      <c r="E78">
        <v>8280</v>
      </c>
      <c r="F78">
        <v>7896</v>
      </c>
      <c r="G78">
        <v>7427</v>
      </c>
      <c r="H78">
        <v>6944</v>
      </c>
      <c r="I78">
        <v>6876</v>
      </c>
      <c r="J78">
        <v>6588</v>
      </c>
      <c r="K78">
        <v>6785</v>
      </c>
      <c r="L78" s="37">
        <v>6679</v>
      </c>
      <c r="N78" s="36"/>
      <c r="O78" s="37" t="s">
        <v>20</v>
      </c>
      <c r="P78" s="36">
        <f t="shared" si="1"/>
        <v>1564</v>
      </c>
      <c r="Q78">
        <f t="shared" si="2"/>
        <v>1518</v>
      </c>
      <c r="R78">
        <f t="shared" si="3"/>
        <v>1566</v>
      </c>
      <c r="S78">
        <f t="shared" si="4"/>
        <v>1493</v>
      </c>
      <c r="T78">
        <f t="shared" si="5"/>
        <v>1581</v>
      </c>
      <c r="U78">
        <f t="shared" si="6"/>
        <v>1407</v>
      </c>
      <c r="V78">
        <f t="shared" si="7"/>
        <v>1360</v>
      </c>
      <c r="W78">
        <f t="shared" si="8"/>
        <v>1307</v>
      </c>
      <c r="X78">
        <f t="shared" si="9"/>
        <v>1298</v>
      </c>
      <c r="Y78" s="37">
        <f t="shared" si="10"/>
        <v>1301</v>
      </c>
    </row>
    <row r="79" spans="1:25" x14ac:dyDescent="0.25">
      <c r="A79" s="36"/>
      <c r="B79" s="37" t="s">
        <v>22</v>
      </c>
      <c r="C79" s="36">
        <v>753</v>
      </c>
      <c r="D79">
        <v>717</v>
      </c>
      <c r="E79">
        <v>670</v>
      </c>
      <c r="F79">
        <v>663</v>
      </c>
      <c r="G79">
        <v>592</v>
      </c>
      <c r="H79">
        <v>548</v>
      </c>
      <c r="I79">
        <v>508</v>
      </c>
      <c r="J79">
        <v>441</v>
      </c>
      <c r="K79">
        <v>482</v>
      </c>
      <c r="L79" s="37">
        <v>516</v>
      </c>
      <c r="N79" s="36"/>
      <c r="O79" s="37" t="s">
        <v>22</v>
      </c>
      <c r="P79" s="36">
        <f t="shared" si="1"/>
        <v>4736</v>
      </c>
      <c r="Q79">
        <f t="shared" si="2"/>
        <v>4925</v>
      </c>
      <c r="R79">
        <f t="shared" si="3"/>
        <v>5008</v>
      </c>
      <c r="S79">
        <f t="shared" si="4"/>
        <v>4999</v>
      </c>
      <c r="T79">
        <f t="shared" si="5"/>
        <v>4755</v>
      </c>
      <c r="U79">
        <f t="shared" si="6"/>
        <v>4142</v>
      </c>
      <c r="V79">
        <f t="shared" si="7"/>
        <v>3577</v>
      </c>
      <c r="W79">
        <f t="shared" si="8"/>
        <v>3309</v>
      </c>
      <c r="X79">
        <f t="shared" si="9"/>
        <v>3013</v>
      </c>
      <c r="Y79" s="37">
        <f t="shared" si="10"/>
        <v>2757</v>
      </c>
    </row>
    <row r="80" spans="1:25" x14ac:dyDescent="0.25">
      <c r="A80" s="36" t="s">
        <v>24</v>
      </c>
      <c r="B80" s="37" t="s">
        <v>16</v>
      </c>
      <c r="C80" s="36">
        <v>8334</v>
      </c>
      <c r="D80">
        <v>7511</v>
      </c>
      <c r="E80">
        <v>7171</v>
      </c>
      <c r="F80">
        <v>6966</v>
      </c>
      <c r="G80">
        <v>6424</v>
      </c>
      <c r="H80">
        <v>6222</v>
      </c>
      <c r="I80">
        <v>6015</v>
      </c>
      <c r="J80">
        <v>5907</v>
      </c>
      <c r="K80">
        <v>5915</v>
      </c>
      <c r="L80" s="37">
        <v>5731</v>
      </c>
      <c r="N80" s="36" t="s">
        <v>24</v>
      </c>
      <c r="O80" s="37" t="s">
        <v>16</v>
      </c>
      <c r="P80" s="36">
        <f t="shared" si="1"/>
        <v>3536</v>
      </c>
      <c r="Q80">
        <f t="shared" si="2"/>
        <v>3712</v>
      </c>
      <c r="R80">
        <f t="shared" si="3"/>
        <v>3758</v>
      </c>
      <c r="S80">
        <f t="shared" si="4"/>
        <v>3814</v>
      </c>
      <c r="T80">
        <f t="shared" si="5"/>
        <v>3704</v>
      </c>
      <c r="U80">
        <f t="shared" si="6"/>
        <v>3294</v>
      </c>
      <c r="V80">
        <f t="shared" si="7"/>
        <v>2992</v>
      </c>
      <c r="W80">
        <f t="shared" si="8"/>
        <v>2785</v>
      </c>
      <c r="X80">
        <f t="shared" si="9"/>
        <v>2653</v>
      </c>
      <c r="Y80" s="37">
        <f t="shared" si="10"/>
        <v>2364</v>
      </c>
    </row>
    <row r="81" spans="1:25" x14ac:dyDescent="0.25">
      <c r="A81" s="36"/>
      <c r="B81" s="37" t="s">
        <v>18</v>
      </c>
      <c r="C81" s="36">
        <v>5</v>
      </c>
      <c r="D81">
        <v>2</v>
      </c>
      <c r="E81">
        <v>4</v>
      </c>
      <c r="F81">
        <v>2</v>
      </c>
      <c r="G81">
        <v>4</v>
      </c>
      <c r="H81">
        <v>9</v>
      </c>
      <c r="I81">
        <v>4</v>
      </c>
      <c r="J81">
        <v>8</v>
      </c>
      <c r="K81">
        <v>8</v>
      </c>
      <c r="L81" s="37">
        <v>14</v>
      </c>
      <c r="N81" s="36"/>
      <c r="O81" s="37" t="s">
        <v>18</v>
      </c>
      <c r="P81" s="36">
        <f t="shared" si="1"/>
        <v>2</v>
      </c>
      <c r="Q81">
        <f t="shared" si="2"/>
        <v>0</v>
      </c>
      <c r="R81">
        <f t="shared" si="3"/>
        <v>0</v>
      </c>
      <c r="S81">
        <f t="shared" si="4"/>
        <v>1</v>
      </c>
      <c r="T81">
        <f t="shared" si="5"/>
        <v>0</v>
      </c>
      <c r="U81">
        <f t="shared" si="6"/>
        <v>0</v>
      </c>
      <c r="V81">
        <f t="shared" si="7"/>
        <v>3</v>
      </c>
      <c r="W81">
        <f t="shared" si="8"/>
        <v>1</v>
      </c>
      <c r="X81">
        <f t="shared" si="9"/>
        <v>2</v>
      </c>
      <c r="Y81" s="37">
        <f t="shared" si="10"/>
        <v>3</v>
      </c>
    </row>
    <row r="82" spans="1:25" x14ac:dyDescent="0.25">
      <c r="A82" s="36"/>
      <c r="B82" s="37" t="s">
        <v>20</v>
      </c>
      <c r="C82" s="36">
        <v>7614</v>
      </c>
      <c r="D82">
        <v>6801</v>
      </c>
      <c r="E82">
        <v>6506</v>
      </c>
      <c r="F82">
        <v>6367</v>
      </c>
      <c r="G82">
        <v>5863</v>
      </c>
      <c r="H82">
        <v>5699</v>
      </c>
      <c r="I82">
        <v>5526</v>
      </c>
      <c r="J82">
        <v>5439</v>
      </c>
      <c r="K82">
        <v>5422</v>
      </c>
      <c r="L82" s="37">
        <v>5283</v>
      </c>
      <c r="N82" s="36"/>
      <c r="O82" s="37" t="s">
        <v>20</v>
      </c>
      <c r="P82" s="36">
        <f t="shared" si="1"/>
        <v>864</v>
      </c>
      <c r="Q82">
        <f t="shared" si="2"/>
        <v>840</v>
      </c>
      <c r="R82">
        <f t="shared" si="3"/>
        <v>917</v>
      </c>
      <c r="S82">
        <f t="shared" si="4"/>
        <v>847</v>
      </c>
      <c r="T82">
        <f t="shared" si="5"/>
        <v>842</v>
      </c>
      <c r="U82">
        <f t="shared" si="6"/>
        <v>810</v>
      </c>
      <c r="V82">
        <f t="shared" si="7"/>
        <v>835</v>
      </c>
      <c r="W82">
        <f t="shared" si="8"/>
        <v>756</v>
      </c>
      <c r="X82">
        <f t="shared" si="9"/>
        <v>759</v>
      </c>
      <c r="Y82" s="37">
        <f t="shared" si="10"/>
        <v>717</v>
      </c>
    </row>
    <row r="83" spans="1:25" x14ac:dyDescent="0.25">
      <c r="A83" s="36"/>
      <c r="B83" s="37" t="s">
        <v>22</v>
      </c>
      <c r="C83" s="36">
        <v>715</v>
      </c>
      <c r="D83">
        <v>708</v>
      </c>
      <c r="E83">
        <v>661</v>
      </c>
      <c r="F83">
        <v>597</v>
      </c>
      <c r="G83">
        <v>557</v>
      </c>
      <c r="H83">
        <v>514</v>
      </c>
      <c r="I83">
        <v>485</v>
      </c>
      <c r="J83">
        <v>460</v>
      </c>
      <c r="K83">
        <v>485</v>
      </c>
      <c r="L83" s="37">
        <v>434</v>
      </c>
      <c r="N83" s="36"/>
      <c r="O83" s="37" t="s">
        <v>22</v>
      </c>
      <c r="P83" s="36">
        <f t="shared" si="1"/>
        <v>2670</v>
      </c>
      <c r="Q83">
        <f t="shared" si="2"/>
        <v>2872</v>
      </c>
      <c r="R83">
        <f t="shared" si="3"/>
        <v>2841</v>
      </c>
      <c r="S83">
        <f t="shared" si="4"/>
        <v>2966</v>
      </c>
      <c r="T83">
        <f t="shared" si="5"/>
        <v>2862</v>
      </c>
      <c r="U83">
        <f t="shared" si="6"/>
        <v>2484</v>
      </c>
      <c r="V83">
        <f t="shared" si="7"/>
        <v>2154</v>
      </c>
      <c r="W83">
        <f t="shared" si="8"/>
        <v>2028</v>
      </c>
      <c r="X83">
        <f t="shared" si="9"/>
        <v>1892</v>
      </c>
      <c r="Y83" s="37">
        <f t="shared" si="10"/>
        <v>1644</v>
      </c>
    </row>
    <row r="84" spans="1:25" x14ac:dyDescent="0.25">
      <c r="A84" s="36" t="s">
        <v>25</v>
      </c>
      <c r="B84" s="37" t="s">
        <v>16</v>
      </c>
      <c r="C84" s="36">
        <v>3222</v>
      </c>
      <c r="D84">
        <v>3048</v>
      </c>
      <c r="E84">
        <v>2657</v>
      </c>
      <c r="F84">
        <v>2567</v>
      </c>
      <c r="G84">
        <v>2354</v>
      </c>
      <c r="H84">
        <v>2253</v>
      </c>
      <c r="I84">
        <v>2118</v>
      </c>
      <c r="J84">
        <v>2087</v>
      </c>
      <c r="K84">
        <v>2083</v>
      </c>
      <c r="L84" s="37">
        <v>2200</v>
      </c>
      <c r="N84" s="36" t="s">
        <v>25</v>
      </c>
      <c r="O84" s="37" t="s">
        <v>16</v>
      </c>
      <c r="P84" s="36">
        <f t="shared" si="1"/>
        <v>1976</v>
      </c>
      <c r="Q84">
        <f t="shared" si="2"/>
        <v>1977</v>
      </c>
      <c r="R84">
        <f t="shared" si="3"/>
        <v>2041</v>
      </c>
      <c r="S84">
        <f t="shared" si="4"/>
        <v>1925</v>
      </c>
      <c r="T84">
        <f t="shared" si="5"/>
        <v>1975</v>
      </c>
      <c r="U84">
        <f t="shared" si="6"/>
        <v>1588</v>
      </c>
      <c r="V84">
        <f t="shared" si="7"/>
        <v>1556</v>
      </c>
      <c r="W84">
        <f t="shared" si="8"/>
        <v>1436</v>
      </c>
      <c r="X84">
        <f t="shared" si="9"/>
        <v>1326</v>
      </c>
      <c r="Y84" s="37">
        <f t="shared" si="10"/>
        <v>1226</v>
      </c>
    </row>
    <row r="85" spans="1:25" x14ac:dyDescent="0.25">
      <c r="A85" s="36"/>
      <c r="B85" s="37" t="s">
        <v>18</v>
      </c>
      <c r="C85" s="36">
        <v>2</v>
      </c>
      <c r="D85">
        <v>4</v>
      </c>
      <c r="E85">
        <v>2</v>
      </c>
      <c r="F85">
        <v>5</v>
      </c>
      <c r="G85">
        <v>4</v>
      </c>
      <c r="H85">
        <v>6</v>
      </c>
      <c r="I85">
        <v>5</v>
      </c>
      <c r="J85">
        <v>1</v>
      </c>
      <c r="K85">
        <v>4</v>
      </c>
      <c r="L85" s="37">
        <v>10</v>
      </c>
      <c r="N85" s="36"/>
      <c r="O85" s="37" t="s">
        <v>18</v>
      </c>
      <c r="P85" s="36">
        <f t="shared" si="1"/>
        <v>0</v>
      </c>
      <c r="Q85">
        <f t="shared" si="2"/>
        <v>0</v>
      </c>
      <c r="R85">
        <f t="shared" si="3"/>
        <v>0</v>
      </c>
      <c r="S85">
        <f t="shared" si="4"/>
        <v>0</v>
      </c>
      <c r="T85">
        <f t="shared" si="5"/>
        <v>0</v>
      </c>
      <c r="U85">
        <f t="shared" si="6"/>
        <v>0</v>
      </c>
      <c r="V85">
        <f t="shared" si="7"/>
        <v>1</v>
      </c>
      <c r="W85">
        <f t="shared" si="8"/>
        <v>0</v>
      </c>
      <c r="X85">
        <f t="shared" si="9"/>
        <v>1</v>
      </c>
      <c r="Y85" s="37">
        <f t="shared" si="10"/>
        <v>2</v>
      </c>
    </row>
    <row r="86" spans="1:25" x14ac:dyDescent="0.25">
      <c r="A86" s="36"/>
      <c r="B86" s="37" t="s">
        <v>20</v>
      </c>
      <c r="C86" s="36">
        <v>2963</v>
      </c>
      <c r="D86">
        <v>2827</v>
      </c>
      <c r="E86">
        <v>2470</v>
      </c>
      <c r="F86">
        <v>2377</v>
      </c>
      <c r="G86">
        <v>2178</v>
      </c>
      <c r="H86">
        <v>2074</v>
      </c>
      <c r="I86">
        <v>1977</v>
      </c>
      <c r="J86">
        <v>1943</v>
      </c>
      <c r="K86">
        <v>1945</v>
      </c>
      <c r="L86" s="37">
        <v>2041</v>
      </c>
      <c r="N86" s="36"/>
      <c r="O86" s="37" t="s">
        <v>20</v>
      </c>
      <c r="P86" s="36">
        <f t="shared" si="1"/>
        <v>478</v>
      </c>
      <c r="Q86">
        <f t="shared" si="2"/>
        <v>478</v>
      </c>
      <c r="R86">
        <f t="shared" si="3"/>
        <v>457</v>
      </c>
      <c r="S86">
        <f t="shared" si="4"/>
        <v>429</v>
      </c>
      <c r="T86">
        <f t="shared" si="5"/>
        <v>525</v>
      </c>
      <c r="U86">
        <f t="shared" si="6"/>
        <v>357</v>
      </c>
      <c r="V86">
        <f t="shared" si="7"/>
        <v>439</v>
      </c>
      <c r="W86">
        <f t="shared" si="8"/>
        <v>380</v>
      </c>
      <c r="X86">
        <f t="shared" si="9"/>
        <v>385</v>
      </c>
      <c r="Y86" s="37">
        <f t="shared" si="10"/>
        <v>379</v>
      </c>
    </row>
    <row r="87" spans="1:25" x14ac:dyDescent="0.25">
      <c r="A87" s="36"/>
      <c r="B87" s="37" t="s">
        <v>22</v>
      </c>
      <c r="C87" s="36">
        <v>257</v>
      </c>
      <c r="D87">
        <v>217</v>
      </c>
      <c r="E87">
        <v>185</v>
      </c>
      <c r="F87">
        <v>185</v>
      </c>
      <c r="G87">
        <v>172</v>
      </c>
      <c r="H87">
        <v>173</v>
      </c>
      <c r="I87">
        <v>136</v>
      </c>
      <c r="J87">
        <v>143</v>
      </c>
      <c r="K87">
        <v>134</v>
      </c>
      <c r="L87" s="37">
        <v>149</v>
      </c>
      <c r="N87" s="36"/>
      <c r="O87" s="37" t="s">
        <v>22</v>
      </c>
      <c r="P87" s="36">
        <f t="shared" si="1"/>
        <v>1498</v>
      </c>
      <c r="Q87">
        <f t="shared" si="2"/>
        <v>1499</v>
      </c>
      <c r="R87">
        <f t="shared" si="3"/>
        <v>1584</v>
      </c>
      <c r="S87">
        <f t="shared" si="4"/>
        <v>1496</v>
      </c>
      <c r="T87">
        <f t="shared" si="5"/>
        <v>1450</v>
      </c>
      <c r="U87">
        <f t="shared" si="6"/>
        <v>1231</v>
      </c>
      <c r="V87">
        <f t="shared" si="7"/>
        <v>1116</v>
      </c>
      <c r="W87">
        <f t="shared" si="8"/>
        <v>1056</v>
      </c>
      <c r="X87">
        <f t="shared" si="9"/>
        <v>940</v>
      </c>
      <c r="Y87" s="37">
        <f t="shared" si="10"/>
        <v>845</v>
      </c>
    </row>
    <row r="88" spans="1:25" x14ac:dyDescent="0.25">
      <c r="A88" s="36" t="s">
        <v>26</v>
      </c>
      <c r="B88" s="37" t="s">
        <v>16</v>
      </c>
      <c r="C88" s="36">
        <v>1171</v>
      </c>
      <c r="D88">
        <v>1027</v>
      </c>
      <c r="E88">
        <v>967</v>
      </c>
      <c r="F88">
        <v>853</v>
      </c>
      <c r="G88">
        <v>951</v>
      </c>
      <c r="H88">
        <v>784</v>
      </c>
      <c r="I88">
        <v>795</v>
      </c>
      <c r="J88">
        <v>833</v>
      </c>
      <c r="K88">
        <v>798</v>
      </c>
      <c r="L88" s="37">
        <v>788</v>
      </c>
      <c r="N88" s="36" t="s">
        <v>26</v>
      </c>
      <c r="O88" s="37" t="s">
        <v>16</v>
      </c>
      <c r="P88" s="36">
        <f t="shared" si="1"/>
        <v>318</v>
      </c>
      <c r="Q88">
        <f t="shared" si="2"/>
        <v>352</v>
      </c>
      <c r="R88">
        <f t="shared" si="3"/>
        <v>382</v>
      </c>
      <c r="S88">
        <f t="shared" si="4"/>
        <v>366</v>
      </c>
      <c r="T88">
        <f t="shared" si="5"/>
        <v>378</v>
      </c>
      <c r="U88">
        <f t="shared" si="6"/>
        <v>324</v>
      </c>
      <c r="V88">
        <f t="shared" si="7"/>
        <v>319</v>
      </c>
      <c r="W88">
        <f t="shared" si="8"/>
        <v>281</v>
      </c>
      <c r="X88">
        <f t="shared" si="9"/>
        <v>254</v>
      </c>
      <c r="Y88" s="37">
        <f t="shared" si="10"/>
        <v>209</v>
      </c>
    </row>
    <row r="89" spans="1:25" x14ac:dyDescent="0.25">
      <c r="A89" s="36"/>
      <c r="B89" s="37" t="s">
        <v>18</v>
      </c>
      <c r="C89" s="36">
        <v>3</v>
      </c>
      <c r="D89">
        <v>0</v>
      </c>
      <c r="E89">
        <v>1</v>
      </c>
      <c r="F89">
        <v>0</v>
      </c>
      <c r="G89">
        <v>0</v>
      </c>
      <c r="H89">
        <v>1</v>
      </c>
      <c r="I89">
        <v>2</v>
      </c>
      <c r="J89">
        <v>0</v>
      </c>
      <c r="K89">
        <v>2</v>
      </c>
      <c r="L89" s="37">
        <v>0</v>
      </c>
      <c r="N89" s="36"/>
      <c r="O89" s="37" t="s">
        <v>18</v>
      </c>
      <c r="P89" s="36">
        <f t="shared" si="1"/>
        <v>0</v>
      </c>
      <c r="Q89">
        <f t="shared" si="2"/>
        <v>1</v>
      </c>
      <c r="R89">
        <f t="shared" si="3"/>
        <v>0</v>
      </c>
      <c r="S89">
        <f t="shared" si="4"/>
        <v>2</v>
      </c>
      <c r="T89">
        <f t="shared" si="5"/>
        <v>0</v>
      </c>
      <c r="U89">
        <f t="shared" si="6"/>
        <v>0</v>
      </c>
      <c r="V89">
        <f t="shared" si="7"/>
        <v>0</v>
      </c>
      <c r="W89">
        <f t="shared" si="8"/>
        <v>0</v>
      </c>
      <c r="X89">
        <f t="shared" si="9"/>
        <v>0</v>
      </c>
      <c r="Y89" s="37">
        <f t="shared" si="10"/>
        <v>0</v>
      </c>
    </row>
    <row r="90" spans="1:25" x14ac:dyDescent="0.25">
      <c r="A90" s="36"/>
      <c r="B90" s="37" t="s">
        <v>20</v>
      </c>
      <c r="C90" s="36">
        <v>1100</v>
      </c>
      <c r="D90">
        <v>952</v>
      </c>
      <c r="E90">
        <v>896</v>
      </c>
      <c r="F90">
        <v>797</v>
      </c>
      <c r="G90">
        <v>883</v>
      </c>
      <c r="H90">
        <v>728</v>
      </c>
      <c r="I90">
        <v>744</v>
      </c>
      <c r="J90">
        <v>773</v>
      </c>
      <c r="K90">
        <v>746</v>
      </c>
      <c r="L90" s="37">
        <v>731</v>
      </c>
      <c r="N90" s="36"/>
      <c r="O90" s="37" t="s">
        <v>20</v>
      </c>
      <c r="P90" s="36">
        <f t="shared" si="1"/>
        <v>87</v>
      </c>
      <c r="Q90">
        <f t="shared" si="2"/>
        <v>83</v>
      </c>
      <c r="R90">
        <f t="shared" si="3"/>
        <v>71</v>
      </c>
      <c r="S90">
        <f t="shared" si="4"/>
        <v>72</v>
      </c>
      <c r="T90">
        <f t="shared" si="5"/>
        <v>85</v>
      </c>
      <c r="U90">
        <f t="shared" si="6"/>
        <v>64</v>
      </c>
      <c r="V90">
        <f t="shared" si="7"/>
        <v>75</v>
      </c>
      <c r="W90">
        <f t="shared" si="8"/>
        <v>68</v>
      </c>
      <c r="X90">
        <f t="shared" si="9"/>
        <v>82</v>
      </c>
      <c r="Y90" s="37">
        <f t="shared" si="10"/>
        <v>74</v>
      </c>
    </row>
    <row r="91" spans="1:25" x14ac:dyDescent="0.25">
      <c r="A91" s="38"/>
      <c r="B91" s="39" t="s">
        <v>22</v>
      </c>
      <c r="C91" s="38">
        <v>68</v>
      </c>
      <c r="D91" s="51">
        <v>75</v>
      </c>
      <c r="E91" s="51">
        <v>70</v>
      </c>
      <c r="F91" s="51">
        <v>56</v>
      </c>
      <c r="G91" s="51">
        <v>68</v>
      </c>
      <c r="H91" s="51">
        <v>55</v>
      </c>
      <c r="I91" s="51">
        <v>49</v>
      </c>
      <c r="J91" s="51">
        <v>60</v>
      </c>
      <c r="K91" s="51">
        <v>50</v>
      </c>
      <c r="L91" s="39">
        <v>57</v>
      </c>
      <c r="N91" s="38"/>
      <c r="O91" s="39" t="s">
        <v>22</v>
      </c>
      <c r="P91" s="38">
        <f t="shared" si="1"/>
        <v>231</v>
      </c>
      <c r="Q91" s="51">
        <f t="shared" si="2"/>
        <v>268</v>
      </c>
      <c r="R91" s="51">
        <f t="shared" si="3"/>
        <v>311</v>
      </c>
      <c r="S91" s="51">
        <f t="shared" si="4"/>
        <v>292</v>
      </c>
      <c r="T91" s="51">
        <f t="shared" si="5"/>
        <v>293</v>
      </c>
      <c r="U91" s="51">
        <f t="shared" si="6"/>
        <v>260</v>
      </c>
      <c r="V91" s="51">
        <f t="shared" si="7"/>
        <v>244</v>
      </c>
      <c r="W91" s="51">
        <f t="shared" si="8"/>
        <v>213</v>
      </c>
      <c r="X91" s="51">
        <f t="shared" si="9"/>
        <v>172</v>
      </c>
      <c r="Y91" s="39">
        <f t="shared" si="10"/>
        <v>135</v>
      </c>
    </row>
    <row r="93" spans="1:25" x14ac:dyDescent="0.25">
      <c r="A93" s="104" t="s">
        <v>32</v>
      </c>
      <c r="B93" s="105"/>
      <c r="C93" s="105"/>
      <c r="D93" s="105"/>
      <c r="E93" s="106"/>
    </row>
    <row r="94" spans="1:25" x14ac:dyDescent="0.25">
      <c r="A94" s="40" t="s">
        <v>2</v>
      </c>
      <c r="B94" s="41" t="s">
        <v>33</v>
      </c>
      <c r="C94" s="42" t="s">
        <v>34</v>
      </c>
      <c r="D94" s="42" t="s">
        <v>35</v>
      </c>
      <c r="E94" s="41" t="s">
        <v>36</v>
      </c>
      <c r="H94">
        <f t="shared" ref="H94:H109" si="11">SUM(C73:L73)</f>
        <v>212</v>
      </c>
    </row>
    <row r="95" spans="1:25" x14ac:dyDescent="0.25">
      <c r="A95" s="36" t="s">
        <v>15</v>
      </c>
      <c r="B95" s="37">
        <v>1</v>
      </c>
      <c r="C95">
        <v>64123</v>
      </c>
      <c r="D95" s="3">
        <v>0.94599999999999995</v>
      </c>
      <c r="E95" s="52">
        <f>1-Dati_OPTN!$D95</f>
        <v>5.4000000000000048E-2</v>
      </c>
      <c r="H95">
        <f t="shared" si="11"/>
        <v>167715</v>
      </c>
    </row>
    <row r="96" spans="1:25" x14ac:dyDescent="0.25">
      <c r="A96" s="36"/>
      <c r="B96" s="37">
        <v>3</v>
      </c>
      <c r="C96">
        <v>56240</v>
      </c>
      <c r="D96" s="3">
        <v>0.878</v>
      </c>
      <c r="E96" s="52">
        <f>1-Dati_OPTN!$D96</f>
        <v>0.122</v>
      </c>
      <c r="H96">
        <f t="shared" si="11"/>
        <v>13865</v>
      </c>
    </row>
    <row r="97" spans="1:8" x14ac:dyDescent="0.25">
      <c r="A97" s="36"/>
      <c r="B97" s="37">
        <v>5</v>
      </c>
      <c r="C97">
        <v>47638</v>
      </c>
      <c r="D97" s="3">
        <v>0.78674999999999995</v>
      </c>
      <c r="E97" s="52">
        <f>1-Dati_OPTN!$D97</f>
        <v>0.21325000000000005</v>
      </c>
      <c r="H97">
        <f t="shared" si="11"/>
        <v>82040</v>
      </c>
    </row>
    <row r="98" spans="1:8" x14ac:dyDescent="0.25">
      <c r="A98" s="36" t="s">
        <v>23</v>
      </c>
      <c r="B98" s="37">
        <v>1</v>
      </c>
      <c r="C98">
        <v>28779</v>
      </c>
      <c r="D98" s="3">
        <v>0.94599999999999995</v>
      </c>
      <c r="E98" s="52">
        <f>1-Dati_OPTN!$D98</f>
        <v>5.4000000000000048E-2</v>
      </c>
      <c r="H98">
        <f t="shared" si="11"/>
        <v>100</v>
      </c>
    </row>
    <row r="99" spans="1:8" x14ac:dyDescent="0.25">
      <c r="A99" s="36"/>
      <c r="B99" s="37">
        <v>3</v>
      </c>
      <c r="C99">
        <v>25312</v>
      </c>
      <c r="D99" s="3">
        <v>0.876</v>
      </c>
      <c r="E99" s="52">
        <f>1-Dati_OPTN!$D99</f>
        <v>0.124</v>
      </c>
      <c r="H99">
        <f t="shared" si="11"/>
        <v>76050</v>
      </c>
    </row>
    <row r="100" spans="1:8" x14ac:dyDescent="0.25">
      <c r="A100" s="36"/>
      <c r="B100" s="37">
        <v>5</v>
      </c>
      <c r="C100">
        <v>21429</v>
      </c>
      <c r="D100" s="3">
        <v>0.78500000000000003</v>
      </c>
      <c r="E100" s="52">
        <f>1-Dati_OPTN!$D100</f>
        <v>0.21499999999999997</v>
      </c>
      <c r="H100">
        <f t="shared" si="11"/>
        <v>5890</v>
      </c>
    </row>
    <row r="101" spans="1:8" x14ac:dyDescent="0.25">
      <c r="A101" s="36" t="s">
        <v>24</v>
      </c>
      <c r="B101" s="37">
        <v>1</v>
      </c>
      <c r="C101">
        <v>23687</v>
      </c>
      <c r="D101" s="3">
        <v>0.94699999999999995</v>
      </c>
      <c r="E101" s="52">
        <f>1-Dati_OPTN!$D101</f>
        <v>5.3000000000000047E-2</v>
      </c>
      <c r="H101">
        <f t="shared" si="11"/>
        <v>66196</v>
      </c>
    </row>
    <row r="102" spans="1:8" x14ac:dyDescent="0.25">
      <c r="A102" s="36"/>
      <c r="B102" s="37">
        <v>3</v>
      </c>
      <c r="C102">
        <v>20747</v>
      </c>
      <c r="D102" s="3">
        <v>0.878</v>
      </c>
      <c r="E102" s="52">
        <f>1-Dati_OPTN!$D102</f>
        <v>0.122</v>
      </c>
      <c r="H102">
        <f t="shared" si="11"/>
        <v>60</v>
      </c>
    </row>
    <row r="103" spans="1:8" x14ac:dyDescent="0.25">
      <c r="A103" s="36"/>
      <c r="B103" s="37">
        <v>5</v>
      </c>
      <c r="C103">
        <v>17602</v>
      </c>
      <c r="D103" s="3">
        <v>0.78500000000000003</v>
      </c>
      <c r="E103" s="52">
        <f>1-Dati_OPTN!$D103</f>
        <v>0.21499999999999997</v>
      </c>
      <c r="H103">
        <f t="shared" si="11"/>
        <v>60520</v>
      </c>
    </row>
    <row r="104" spans="1:8" x14ac:dyDescent="0.25">
      <c r="A104" s="36" t="s">
        <v>25</v>
      </c>
      <c r="B104" s="37">
        <v>1</v>
      </c>
      <c r="C104">
        <v>8436</v>
      </c>
      <c r="D104" s="3">
        <v>0.94399999999999995</v>
      </c>
      <c r="E104" s="52">
        <f>1-Dati_OPTN!$D104</f>
        <v>5.600000000000005E-2</v>
      </c>
      <c r="H104">
        <f t="shared" si="11"/>
        <v>5616</v>
      </c>
    </row>
    <row r="105" spans="1:8" x14ac:dyDescent="0.25">
      <c r="A105" s="36"/>
      <c r="B105" s="37">
        <v>3</v>
      </c>
      <c r="C105">
        <v>7380</v>
      </c>
      <c r="D105" s="3">
        <v>0.876</v>
      </c>
      <c r="E105" s="52">
        <f>1-Dati_OPTN!$D105</f>
        <v>0.124</v>
      </c>
      <c r="H105">
        <f t="shared" si="11"/>
        <v>24589</v>
      </c>
    </row>
    <row r="106" spans="1:8" x14ac:dyDescent="0.25">
      <c r="A106" s="36"/>
      <c r="B106" s="37">
        <v>5</v>
      </c>
      <c r="C106">
        <v>6279</v>
      </c>
      <c r="D106" s="3">
        <v>0.77600000000000002</v>
      </c>
      <c r="E106" s="52">
        <f>1-Dati_OPTN!$D106</f>
        <v>0.22399999999999998</v>
      </c>
      <c r="H106">
        <f t="shared" si="11"/>
        <v>43</v>
      </c>
    </row>
    <row r="107" spans="1:8" x14ac:dyDescent="0.25">
      <c r="A107" s="36" t="s">
        <v>26</v>
      </c>
      <c r="B107" s="37">
        <v>1</v>
      </c>
      <c r="C107">
        <v>3221</v>
      </c>
      <c r="D107" s="3">
        <v>0.94699999999999995</v>
      </c>
      <c r="E107" s="52">
        <f>1-Dati_OPTN!$D107</f>
        <v>5.3000000000000047E-2</v>
      </c>
      <c r="H107">
        <f t="shared" si="11"/>
        <v>22795</v>
      </c>
    </row>
    <row r="108" spans="1:8" x14ac:dyDescent="0.25">
      <c r="A108" s="36"/>
      <c r="B108" s="37">
        <v>3</v>
      </c>
      <c r="C108">
        <v>2801</v>
      </c>
      <c r="D108" s="3">
        <v>0.88200000000000001</v>
      </c>
      <c r="E108" s="52">
        <f>1-Dati_OPTN!$D108</f>
        <v>0.11799999999999999</v>
      </c>
      <c r="H108">
        <f t="shared" si="11"/>
        <v>1751</v>
      </c>
    </row>
    <row r="109" spans="1:8" x14ac:dyDescent="0.25">
      <c r="A109" s="38"/>
      <c r="B109" s="39">
        <v>5</v>
      </c>
      <c r="C109" s="51">
        <v>2328</v>
      </c>
      <c r="D109" s="53">
        <v>0.80100000000000005</v>
      </c>
      <c r="E109" s="54">
        <f>1-Dati_OPTN!$D109</f>
        <v>0.19899999999999995</v>
      </c>
      <c r="H109">
        <f t="shared" si="11"/>
        <v>8967</v>
      </c>
    </row>
  </sheetData>
  <mergeCells count="8">
    <mergeCell ref="A93:E93"/>
    <mergeCell ref="A1:L1"/>
    <mergeCell ref="N1:Y1"/>
    <mergeCell ref="A47:L47"/>
    <mergeCell ref="N47:Y47"/>
    <mergeCell ref="A70:L70"/>
    <mergeCell ref="N70:Y70"/>
    <mergeCell ref="A24:L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"/>
  <sheetViews>
    <sheetView zoomScaleNormal="100" workbookViewId="0">
      <selection activeCell="N6" sqref="N6"/>
    </sheetView>
  </sheetViews>
  <sheetFormatPr defaultColWidth="8.7109375" defaultRowHeight="15" x14ac:dyDescent="0.25"/>
  <cols>
    <col min="1" max="1" width="9.85546875" customWidth="1"/>
    <col min="2" max="2" width="16.140625" customWidth="1"/>
    <col min="3" max="3" width="15.140625" customWidth="1"/>
    <col min="4" max="4" width="15.85546875" customWidth="1"/>
    <col min="5" max="5" width="5" customWidth="1"/>
    <col min="6" max="6" width="12" customWidth="1"/>
    <col min="7" max="7" width="17.42578125" customWidth="1"/>
    <col min="8" max="8" width="12.42578125" customWidth="1"/>
    <col min="9" max="9" width="5" customWidth="1"/>
    <col min="11" max="11" width="18.5703125" customWidth="1"/>
    <col min="12" max="12" width="14.140625" customWidth="1"/>
    <col min="13" max="13" width="13.5703125" customWidth="1"/>
    <col min="16" max="16" width="12.140625" customWidth="1"/>
    <col min="17" max="17" width="17.140625" customWidth="1"/>
    <col min="18" max="18" width="13.85546875" customWidth="1"/>
  </cols>
  <sheetData>
    <row r="1" spans="1:18" x14ac:dyDescent="0.25">
      <c r="A1" s="111" t="s">
        <v>195</v>
      </c>
      <c r="B1" s="112"/>
      <c r="C1" s="112"/>
      <c r="D1" s="113"/>
      <c r="F1" s="111" t="s">
        <v>37</v>
      </c>
      <c r="G1" s="112"/>
      <c r="H1" s="113"/>
      <c r="I1" s="2"/>
      <c r="J1" s="111" t="s">
        <v>207</v>
      </c>
      <c r="K1" s="112"/>
      <c r="L1" s="112"/>
      <c r="M1" s="113"/>
      <c r="O1" s="111" t="s">
        <v>207</v>
      </c>
      <c r="P1" s="112"/>
      <c r="Q1" s="112"/>
      <c r="R1" s="113"/>
    </row>
    <row r="2" spans="1:18" x14ac:dyDescent="0.25">
      <c r="A2" s="58" t="s">
        <v>2</v>
      </c>
      <c r="B2" s="59" t="s">
        <v>3</v>
      </c>
      <c r="C2" s="60" t="s">
        <v>196</v>
      </c>
      <c r="D2" s="59" t="s">
        <v>38</v>
      </c>
      <c r="F2" s="58" t="s">
        <v>2</v>
      </c>
      <c r="G2" s="59" t="s">
        <v>3</v>
      </c>
      <c r="H2" s="59" t="s">
        <v>38</v>
      </c>
      <c r="I2" s="2"/>
      <c r="J2" s="58" t="s">
        <v>2</v>
      </c>
      <c r="K2" s="59" t="s">
        <v>3</v>
      </c>
      <c r="L2" s="60" t="s">
        <v>196</v>
      </c>
      <c r="M2" s="59" t="s">
        <v>38</v>
      </c>
      <c r="O2" s="58" t="s">
        <v>2</v>
      </c>
      <c r="P2" s="60" t="s">
        <v>3</v>
      </c>
      <c r="Q2" s="103" t="s">
        <v>196</v>
      </c>
      <c r="R2" s="59" t="s">
        <v>38</v>
      </c>
    </row>
    <row r="3" spans="1:18" x14ac:dyDescent="0.25">
      <c r="A3" s="6" t="s">
        <v>15</v>
      </c>
      <c r="B3" s="56" t="s">
        <v>16</v>
      </c>
      <c r="C3" s="4">
        <f>AVERAGE(Dati_OPTN!C3:H3)</f>
        <v>37417</v>
      </c>
      <c r="D3" s="61">
        <f>Arrivi!$C3/365</f>
        <v>102.51232876712329</v>
      </c>
      <c r="F3" s="6" t="s">
        <v>15</v>
      </c>
      <c r="G3" s="56" t="s">
        <v>16</v>
      </c>
      <c r="H3" s="61">
        <f>Dati_OPTN!C3/365</f>
        <v>113.83561643835617</v>
      </c>
      <c r="I3" s="4"/>
      <c r="J3" s="6" t="s">
        <v>15</v>
      </c>
      <c r="K3" s="56" t="s">
        <v>16</v>
      </c>
      <c r="L3" s="72">
        <f>AVERAGE(Dati_OPTN!C3:L3)</f>
        <v>36552.9</v>
      </c>
      <c r="M3" s="73">
        <f>Arrivi!L3/365</f>
        <v>100.14493150684932</v>
      </c>
      <c r="O3" s="6" t="s">
        <v>15</v>
      </c>
      <c r="P3" s="2" t="s">
        <v>16</v>
      </c>
      <c r="Q3" s="89">
        <f>AVERAGE(Dati_OPTN!C26:L26)</f>
        <v>32271.9</v>
      </c>
      <c r="R3" s="73">
        <f>Arrivi!Q3/365</f>
        <v>88.41616438356165</v>
      </c>
    </row>
    <row r="4" spans="1:18" x14ac:dyDescent="0.25">
      <c r="A4" s="6"/>
      <c r="B4" s="56" t="s">
        <v>18</v>
      </c>
      <c r="C4" s="4">
        <f>AVERAGE(Dati_OPTN!C4:H4)</f>
        <v>37.333333333333336</v>
      </c>
      <c r="D4" s="61">
        <f>Arrivi!$C4/365</f>
        <v>0.10228310502283106</v>
      </c>
      <c r="F4" s="36"/>
      <c r="G4" s="56" t="s">
        <v>18</v>
      </c>
      <c r="H4" s="61">
        <f>Dati_OPTN!C4/365</f>
        <v>0.11232876712328767</v>
      </c>
      <c r="I4" s="4"/>
      <c r="J4" s="6"/>
      <c r="K4" s="56" t="s">
        <v>18</v>
      </c>
      <c r="L4" s="74">
        <f>AVERAGE(Dati_OPTN!C4:L4)</f>
        <v>34.4</v>
      </c>
      <c r="M4" s="61">
        <f>Arrivi!L4/365</f>
        <v>9.4246575342465749E-2</v>
      </c>
      <c r="O4" s="6"/>
      <c r="P4" s="2" t="s">
        <v>18</v>
      </c>
      <c r="Q4" s="89">
        <f>AVERAGE(Dati_OPTN!C27:L27)</f>
        <v>28.5</v>
      </c>
      <c r="R4" s="61">
        <f>Arrivi!Q4/365</f>
        <v>7.8082191780821916E-2</v>
      </c>
    </row>
    <row r="5" spans="1:18" x14ac:dyDescent="0.25">
      <c r="A5" s="6"/>
      <c r="B5" s="56" t="s">
        <v>20</v>
      </c>
      <c r="C5" s="4">
        <f>AVERAGE(Dati_OPTN!C5:H5)</f>
        <v>28026.666666666668</v>
      </c>
      <c r="D5" s="61">
        <f>Arrivi!$C5/365</f>
        <v>76.785388127853878</v>
      </c>
      <c r="F5" s="36"/>
      <c r="G5" s="56" t="s">
        <v>20</v>
      </c>
      <c r="H5" s="61">
        <f>Dati_OPTN!C5/365</f>
        <v>85.37808219178082</v>
      </c>
      <c r="I5" s="4"/>
      <c r="J5" s="6"/>
      <c r="K5" s="56" t="s">
        <v>20</v>
      </c>
      <c r="L5" s="74">
        <f>AVERAGE(Dati_OPTN!C5:L5)</f>
        <v>26543</v>
      </c>
      <c r="M5" s="61">
        <f>Arrivi!L5/365</f>
        <v>72.720547945205482</v>
      </c>
      <c r="O5" s="6"/>
      <c r="P5" s="2" t="s">
        <v>20</v>
      </c>
      <c r="Q5" s="89">
        <f>AVERAGE(Dati_OPTN!C28:L28)</f>
        <v>23530</v>
      </c>
      <c r="R5" s="61">
        <f>Arrivi!Q5/365</f>
        <v>64.465753424657535</v>
      </c>
    </row>
    <row r="6" spans="1:18" x14ac:dyDescent="0.25">
      <c r="A6" s="6"/>
      <c r="B6" s="56" t="s">
        <v>22</v>
      </c>
      <c r="C6" s="4">
        <f>AVERAGE(Dati_OPTN!C6:H6)</f>
        <v>9353</v>
      </c>
      <c r="D6" s="61">
        <f>Arrivi!$C6/365</f>
        <v>25.624657534246577</v>
      </c>
      <c r="F6" s="36"/>
      <c r="G6" s="56" t="s">
        <v>22</v>
      </c>
      <c r="H6" s="61">
        <f>Dati_OPTN!C6/365</f>
        <v>28.345205479452055</v>
      </c>
      <c r="I6" s="4"/>
      <c r="J6" s="6"/>
      <c r="K6" s="56" t="s">
        <v>22</v>
      </c>
      <c r="L6" s="74">
        <f>AVERAGE(Dati_OPTN!C6:L6)</f>
        <v>9975.5</v>
      </c>
      <c r="M6" s="61">
        <f>Arrivi!L6/365</f>
        <v>27.330136986301369</v>
      </c>
      <c r="O6" s="6"/>
      <c r="P6" s="2" t="s">
        <v>22</v>
      </c>
      <c r="Q6" s="89">
        <f>AVERAGE(Dati_OPTN!C29:L29)</f>
        <v>8713.4</v>
      </c>
      <c r="R6" s="61">
        <f>Arrivi!Q6/365</f>
        <v>23.872328767123285</v>
      </c>
    </row>
    <row r="7" spans="1:18" x14ac:dyDescent="0.25">
      <c r="A7" s="6" t="s">
        <v>23</v>
      </c>
      <c r="B7" s="56" t="s">
        <v>16</v>
      </c>
      <c r="C7" s="4">
        <f>AVERAGE(Dati_OPTN!C7:H7)</f>
        <v>18248</v>
      </c>
      <c r="D7" s="61">
        <f>Arrivi!$C7/365</f>
        <v>49.994520547945207</v>
      </c>
      <c r="F7" s="6" t="s">
        <v>23</v>
      </c>
      <c r="G7" s="56" t="s">
        <v>16</v>
      </c>
      <c r="H7" s="61">
        <f>Dati_OPTN!C7/365</f>
        <v>55.750684931506846</v>
      </c>
      <c r="I7" s="4"/>
      <c r="J7" s="6" t="s">
        <v>23</v>
      </c>
      <c r="K7" s="56" t="s">
        <v>16</v>
      </c>
      <c r="L7" s="74">
        <f>AVERAGE(Dati_OPTN!C7:L7)</f>
        <v>17785.5</v>
      </c>
      <c r="M7" s="61">
        <f>Arrivi!L7/365</f>
        <v>48.727397260273975</v>
      </c>
      <c r="O7" s="6" t="s">
        <v>23</v>
      </c>
      <c r="P7" s="2" t="s">
        <v>16</v>
      </c>
      <c r="Q7" s="89">
        <f>AVERAGE(Dati_OPTN!C30:L30)</f>
        <v>15786.5</v>
      </c>
      <c r="R7" s="61">
        <f>Arrivi!Q7/365</f>
        <v>43.250684931506846</v>
      </c>
    </row>
    <row r="8" spans="1:18" x14ac:dyDescent="0.25">
      <c r="A8" s="6"/>
      <c r="B8" s="56" t="s">
        <v>18</v>
      </c>
      <c r="C8" s="4">
        <f>AVERAGE(Dati_OPTN!C8:H8)</f>
        <v>19</v>
      </c>
      <c r="D8" s="61">
        <f>Arrivi!$C8/365</f>
        <v>5.2054794520547946E-2</v>
      </c>
      <c r="F8" s="36"/>
      <c r="G8" s="56" t="s">
        <v>18</v>
      </c>
      <c r="H8" s="61">
        <f>Dati_OPTN!C8/365</f>
        <v>5.2054794520547946E-2</v>
      </c>
      <c r="I8" s="4"/>
      <c r="J8" s="6"/>
      <c r="K8" s="56" t="s">
        <v>18</v>
      </c>
      <c r="L8" s="74">
        <f>AVERAGE(Dati_OPTN!C8:L8)</f>
        <v>17.899999999999999</v>
      </c>
      <c r="M8" s="61">
        <f>Arrivi!L8/365</f>
        <v>4.9041095890410953E-2</v>
      </c>
      <c r="O8" s="6"/>
      <c r="P8" s="2" t="s">
        <v>18</v>
      </c>
      <c r="Q8" s="89">
        <f>AVERAGE(Dati_OPTN!C31:L31)</f>
        <v>14.8</v>
      </c>
      <c r="R8" s="61">
        <f>Arrivi!Q8/365</f>
        <v>4.0547945205479455E-2</v>
      </c>
    </row>
    <row r="9" spans="1:18" x14ac:dyDescent="0.25">
      <c r="A9" s="6"/>
      <c r="B9" s="56" t="s">
        <v>20</v>
      </c>
      <c r="C9" s="4">
        <f>AVERAGE(Dati_OPTN!C9:H9)</f>
        <v>13763.166666666666</v>
      </c>
      <c r="D9" s="61">
        <f>Arrivi!$C9/365</f>
        <v>37.707305936073055</v>
      </c>
      <c r="F9" s="36"/>
      <c r="G9" s="56" t="s">
        <v>20</v>
      </c>
      <c r="H9" s="61">
        <f>Dati_OPTN!C9/365</f>
        <v>42.172602739726024</v>
      </c>
      <c r="I9" s="4"/>
      <c r="J9" s="6"/>
      <c r="K9" s="56" t="s">
        <v>20</v>
      </c>
      <c r="L9" s="74">
        <f>AVERAGE(Dati_OPTN!C9:L9)</f>
        <v>12987.4</v>
      </c>
      <c r="M9" s="61">
        <f>Arrivi!L9/365</f>
        <v>35.581917808219174</v>
      </c>
      <c r="O9" s="6"/>
      <c r="P9" s="2" t="s">
        <v>20</v>
      </c>
      <c r="Q9" s="89">
        <f>AVERAGE(Dati_OPTN!C32:L32)</f>
        <v>11576.3</v>
      </c>
      <c r="R9" s="61">
        <f>Arrivi!Q9/365</f>
        <v>31.715890410958902</v>
      </c>
    </row>
    <row r="10" spans="1:18" x14ac:dyDescent="0.25">
      <c r="A10" s="6"/>
      <c r="B10" s="56" t="s">
        <v>22</v>
      </c>
      <c r="C10" s="4">
        <f>AVERAGE(Dati_OPTN!C10:H10)</f>
        <v>4465.833333333333</v>
      </c>
      <c r="D10" s="61">
        <f>Arrivi!$C10/365</f>
        <v>12.235159817351597</v>
      </c>
      <c r="F10" s="36"/>
      <c r="G10" s="56" t="s">
        <v>22</v>
      </c>
      <c r="H10" s="61">
        <f>Dati_OPTN!C10/365</f>
        <v>13.526027397260274</v>
      </c>
      <c r="I10" s="4"/>
      <c r="J10" s="6"/>
      <c r="K10" s="56" t="s">
        <v>22</v>
      </c>
      <c r="L10" s="74">
        <f>AVERAGE(Dati_OPTN!C10:L10)</f>
        <v>4780.2</v>
      </c>
      <c r="M10" s="61">
        <f>Arrivi!L10/365</f>
        <v>13.096438356164382</v>
      </c>
      <c r="O10" s="6"/>
      <c r="P10" s="2" t="s">
        <v>22</v>
      </c>
      <c r="Q10" s="89">
        <f>AVERAGE(Dati_OPTN!C33:L33)</f>
        <v>4195.3999999999996</v>
      </c>
      <c r="R10" s="61">
        <f>Arrivi!Q10/365</f>
        <v>11.494246575342466</v>
      </c>
    </row>
    <row r="11" spans="1:18" x14ac:dyDescent="0.25">
      <c r="A11" s="6" t="s">
        <v>24</v>
      </c>
      <c r="B11" s="56" t="s">
        <v>16</v>
      </c>
      <c r="C11" s="4">
        <f>AVERAGE(Dati_OPTN!C11:H11)</f>
        <v>12177</v>
      </c>
      <c r="D11" s="61">
        <f>Arrivi!$C11/365</f>
        <v>33.361643835616441</v>
      </c>
      <c r="F11" s="6" t="s">
        <v>24</v>
      </c>
      <c r="G11" s="56" t="s">
        <v>16</v>
      </c>
      <c r="H11" s="61">
        <f>Dati_OPTN!C11/365</f>
        <v>36.871232876712327</v>
      </c>
      <c r="I11" s="4"/>
      <c r="J11" s="6" t="s">
        <v>24</v>
      </c>
      <c r="K11" s="56" t="s">
        <v>16</v>
      </c>
      <c r="L11" s="74">
        <f>AVERAGE(Dati_OPTN!C11:L11)</f>
        <v>11963.7</v>
      </c>
      <c r="M11" s="61">
        <f>Arrivi!L11/365</f>
        <v>32.777260273972608</v>
      </c>
      <c r="O11" s="6" t="s">
        <v>24</v>
      </c>
      <c r="P11" s="2" t="s">
        <v>16</v>
      </c>
      <c r="Q11" s="89">
        <f>AVERAGE(Dati_OPTN!C34:L34)</f>
        <v>10464.700000000001</v>
      </c>
      <c r="R11" s="61">
        <f>Arrivi!Q11/365</f>
        <v>28.67041095890411</v>
      </c>
    </row>
    <row r="12" spans="1:18" x14ac:dyDescent="0.25">
      <c r="A12" s="6"/>
      <c r="B12" s="56" t="s">
        <v>18</v>
      </c>
      <c r="C12" s="4">
        <f>AVERAGE(Dati_OPTN!C12:H12)</f>
        <v>10.666666666666666</v>
      </c>
      <c r="D12" s="61">
        <f>Arrivi!$C12/365</f>
        <v>2.9223744292237442E-2</v>
      </c>
      <c r="F12" s="6"/>
      <c r="G12" s="56" t="s">
        <v>18</v>
      </c>
      <c r="H12" s="61">
        <f>Dati_OPTN!C12/365</f>
        <v>2.7397260273972601E-2</v>
      </c>
      <c r="I12" s="4"/>
      <c r="J12" s="6"/>
      <c r="K12" s="56" t="s">
        <v>18</v>
      </c>
      <c r="L12" s="74">
        <f>AVERAGE(Dati_OPTN!C12:L12)</f>
        <v>10</v>
      </c>
      <c r="M12" s="61">
        <f>Arrivi!L12/365</f>
        <v>2.7397260273972601E-2</v>
      </c>
      <c r="O12" s="6"/>
      <c r="P12" s="2" t="s">
        <v>18</v>
      </c>
      <c r="Q12" s="89">
        <f>AVERAGE(Dati_OPTN!C35:L35)</f>
        <v>7.8</v>
      </c>
      <c r="R12" s="61">
        <f>Arrivi!Q12/365</f>
        <v>2.1369863013698628E-2</v>
      </c>
    </row>
    <row r="13" spans="1:18" x14ac:dyDescent="0.25">
      <c r="A13" s="6"/>
      <c r="B13" s="56" t="s">
        <v>20</v>
      </c>
      <c r="C13" s="4">
        <f>AVERAGE(Dati_OPTN!C13:H13)</f>
        <v>9010.8333333333339</v>
      </c>
      <c r="D13" s="61">
        <f>Arrivi!$C13/365</f>
        <v>24.687214611872147</v>
      </c>
      <c r="F13" s="36"/>
      <c r="G13" s="56" t="s">
        <v>20</v>
      </c>
      <c r="H13" s="61">
        <f>Dati_OPTN!C13/365</f>
        <v>27.172602739726027</v>
      </c>
      <c r="I13" s="4"/>
      <c r="J13" s="6"/>
      <c r="K13" s="56" t="s">
        <v>20</v>
      </c>
      <c r="L13" s="74">
        <f>AVERAGE(Dati_OPTN!C13:L13)</f>
        <v>8623</v>
      </c>
      <c r="M13" s="61">
        <f>Arrivi!L13/365</f>
        <v>23.624657534246577</v>
      </c>
      <c r="O13" s="6"/>
      <c r="P13" s="2" t="s">
        <v>20</v>
      </c>
      <c r="Q13" s="89">
        <f>AVERAGE(Dati_OPTN!C36:L36)</f>
        <v>7570.4</v>
      </c>
      <c r="R13" s="61">
        <f>Arrivi!Q13/365</f>
        <v>20.740821917808219</v>
      </c>
    </row>
    <row r="14" spans="1:18" x14ac:dyDescent="0.25">
      <c r="A14" s="6"/>
      <c r="B14" s="56" t="s">
        <v>22</v>
      </c>
      <c r="C14" s="4">
        <f>AVERAGE(Dati_OPTN!C14:H14)</f>
        <v>3155.5</v>
      </c>
      <c r="D14" s="61">
        <f>Arrivi!$C14/365</f>
        <v>8.6452054794520556</v>
      </c>
      <c r="F14" s="36"/>
      <c r="G14" s="56" t="s">
        <v>22</v>
      </c>
      <c r="H14" s="61">
        <f>Dati_OPTN!C14/365</f>
        <v>9.6712328767123292</v>
      </c>
      <c r="I14" s="4"/>
      <c r="J14" s="6"/>
      <c r="K14" s="56" t="s">
        <v>22</v>
      </c>
      <c r="L14" s="74">
        <f>AVERAGE(Dati_OPTN!C14:L14)</f>
        <v>3330.7</v>
      </c>
      <c r="M14" s="61">
        <f>Arrivi!L14/365</f>
        <v>9.1252054794520543</v>
      </c>
      <c r="O14" s="6"/>
      <c r="P14" s="2" t="s">
        <v>22</v>
      </c>
      <c r="Q14" s="89">
        <f>AVERAGE(Dati_OPTN!C37:L37)</f>
        <v>2886.5</v>
      </c>
      <c r="R14" s="61">
        <f>Arrivi!Q14/365</f>
        <v>7.9082191780821915</v>
      </c>
    </row>
    <row r="15" spans="1:18" x14ac:dyDescent="0.25">
      <c r="A15" s="6" t="s">
        <v>25</v>
      </c>
      <c r="B15" s="56" t="s">
        <v>16</v>
      </c>
      <c r="C15" s="4">
        <f>AVERAGE(Dati_OPTN!C15:H15)</f>
        <v>5565.833333333333</v>
      </c>
      <c r="D15" s="61">
        <f>Arrivi!$C15/365</f>
        <v>15.248858447488583</v>
      </c>
      <c r="F15" s="6" t="s">
        <v>25</v>
      </c>
      <c r="G15" s="56" t="s">
        <v>16</v>
      </c>
      <c r="H15" s="61">
        <f>Dati_OPTN!C15/365</f>
        <v>16.852054794520548</v>
      </c>
      <c r="I15" s="4"/>
      <c r="J15" s="6" t="s">
        <v>25</v>
      </c>
      <c r="K15" s="56" t="s">
        <v>16</v>
      </c>
      <c r="L15" s="74">
        <f>AVERAGE(Dati_OPTN!C15:L15)</f>
        <v>5409.1</v>
      </c>
      <c r="M15" s="61">
        <f>Arrivi!L15/365</f>
        <v>14.819452054794521</v>
      </c>
      <c r="O15" s="6" t="s">
        <v>25</v>
      </c>
      <c r="P15" s="2" t="s">
        <v>16</v>
      </c>
      <c r="Q15" s="89">
        <f>AVERAGE(Dati_OPTN!C38:L38)</f>
        <v>4809</v>
      </c>
      <c r="R15" s="61">
        <f>Arrivi!Q15/365</f>
        <v>13.175342465753424</v>
      </c>
    </row>
    <row r="16" spans="1:18" x14ac:dyDescent="0.25">
      <c r="A16" s="6"/>
      <c r="B16" s="56" t="s">
        <v>18</v>
      </c>
      <c r="C16" s="4">
        <f>AVERAGE(Dati_OPTN!C16:H16)</f>
        <v>6</v>
      </c>
      <c r="D16" s="61">
        <f>Arrivi!$C16/365</f>
        <v>1.643835616438356E-2</v>
      </c>
      <c r="F16" s="36"/>
      <c r="G16" s="56" t="s">
        <v>18</v>
      </c>
      <c r="H16" s="61">
        <f>Dati_OPTN!C16/365</f>
        <v>2.7397260273972601E-2</v>
      </c>
      <c r="I16" s="4"/>
      <c r="J16" s="6"/>
      <c r="K16" s="56" t="s">
        <v>18</v>
      </c>
      <c r="L16" s="74">
        <f>AVERAGE(Dati_OPTN!C16:L16)</f>
        <v>5</v>
      </c>
      <c r="M16" s="61">
        <f>Arrivi!L16/365</f>
        <v>1.3698630136986301E-2</v>
      </c>
      <c r="O16" s="6"/>
      <c r="P16" s="2" t="s">
        <v>18</v>
      </c>
      <c r="Q16" s="89">
        <f>AVERAGE(Dati_OPTN!C39:L39)</f>
        <v>4.5</v>
      </c>
      <c r="R16" s="61">
        <f>Arrivi!Q16/365</f>
        <v>1.2328767123287671E-2</v>
      </c>
    </row>
    <row r="17" spans="1:18" x14ac:dyDescent="0.25">
      <c r="A17" s="6"/>
      <c r="B17" s="56" t="s">
        <v>20</v>
      </c>
      <c r="C17" s="4">
        <f>AVERAGE(Dati_OPTN!C17:H17)</f>
        <v>4200.166666666667</v>
      </c>
      <c r="D17" s="61">
        <f>Arrivi!$C17/365</f>
        <v>11.50730593607306</v>
      </c>
      <c r="F17" s="36"/>
      <c r="G17" s="56" t="s">
        <v>20</v>
      </c>
      <c r="H17" s="61">
        <f>Dati_OPTN!C17/365</f>
        <v>12.854794520547944</v>
      </c>
      <c r="I17" s="4"/>
      <c r="J17" s="6"/>
      <c r="K17" s="56" t="s">
        <v>20</v>
      </c>
      <c r="L17" s="74">
        <f>AVERAGE(Dati_OPTN!C17:L17)</f>
        <v>3939</v>
      </c>
      <c r="M17" s="61">
        <f>Arrivi!L17/365</f>
        <v>10.791780821917808</v>
      </c>
      <c r="O17" s="6"/>
      <c r="P17" s="2" t="s">
        <v>20</v>
      </c>
      <c r="Q17" s="89">
        <f>AVERAGE(Dati_OPTN!C40:L40)</f>
        <v>3517.2</v>
      </c>
      <c r="R17" s="61">
        <f>Arrivi!Q17/365</f>
        <v>9.6361643835616437</v>
      </c>
    </row>
    <row r="18" spans="1:18" x14ac:dyDescent="0.25">
      <c r="A18" s="6"/>
      <c r="B18" s="56" t="s">
        <v>22</v>
      </c>
      <c r="C18" s="4">
        <f>AVERAGE(Dati_OPTN!C18:H18)</f>
        <v>1359.6666666666667</v>
      </c>
      <c r="D18" s="61">
        <f>Arrivi!$C18/365</f>
        <v>3.7251141552511418</v>
      </c>
      <c r="F18" s="36"/>
      <c r="G18" s="56" t="s">
        <v>22</v>
      </c>
      <c r="H18" s="61">
        <f>Dati_OPTN!C18/365</f>
        <v>3.9698630136986299</v>
      </c>
      <c r="I18" s="4"/>
      <c r="J18" s="6"/>
      <c r="K18" s="56" t="s">
        <v>22</v>
      </c>
      <c r="L18" s="74">
        <f>AVERAGE(Dati_OPTN!C18:L18)</f>
        <v>1465.1</v>
      </c>
      <c r="M18" s="61">
        <f>Arrivi!L18/365</f>
        <v>4.0139726027397256</v>
      </c>
      <c r="O18" s="6"/>
      <c r="P18" s="2" t="s">
        <v>22</v>
      </c>
      <c r="Q18" s="89">
        <f>AVERAGE(Dati_OPTN!C41:L41)</f>
        <v>1287.3</v>
      </c>
      <c r="R18" s="61">
        <f>Arrivi!Q18/365</f>
        <v>3.526849315068493</v>
      </c>
    </row>
    <row r="19" spans="1:18" x14ac:dyDescent="0.25">
      <c r="A19" s="6" t="s">
        <v>26</v>
      </c>
      <c r="B19" s="56" t="s">
        <v>16</v>
      </c>
      <c r="C19" s="4">
        <f>AVERAGE(Dati_OPTN!C19:H19)</f>
        <v>1426.1666666666667</v>
      </c>
      <c r="D19" s="61">
        <f>Arrivi!$C19/365</f>
        <v>3.9073059360730595</v>
      </c>
      <c r="F19" s="6" t="s">
        <v>26</v>
      </c>
      <c r="G19" s="56" t="s">
        <v>16</v>
      </c>
      <c r="H19" s="61">
        <f>Dati_OPTN!C19/365</f>
        <v>4.3616438356164382</v>
      </c>
      <c r="I19" s="4"/>
      <c r="J19" s="6" t="s">
        <v>26</v>
      </c>
      <c r="K19" s="56" t="s">
        <v>16</v>
      </c>
      <c r="L19" s="74">
        <f>AVERAGE(Dati_OPTN!C19:L19)</f>
        <v>1394.6</v>
      </c>
      <c r="M19" s="61">
        <f>Arrivi!L19/365</f>
        <v>3.8208219178082188</v>
      </c>
      <c r="O19" s="6" t="s">
        <v>26</v>
      </c>
      <c r="P19" s="2" t="s">
        <v>16</v>
      </c>
      <c r="Q19" s="89">
        <f>AVERAGE(Dati_OPTN!C42:L42)</f>
        <v>1211.7</v>
      </c>
      <c r="R19" s="61">
        <f>Arrivi!Q19/365</f>
        <v>3.3197260273972602</v>
      </c>
    </row>
    <row r="20" spans="1:18" x14ac:dyDescent="0.25">
      <c r="A20" s="6"/>
      <c r="B20" s="56" t="s">
        <v>18</v>
      </c>
      <c r="C20" s="4">
        <f>AVERAGE(Dati_OPTN!C20:H20)</f>
        <v>1.6666666666666667</v>
      </c>
      <c r="D20" s="61">
        <f>Arrivi!$C20/365</f>
        <v>4.5662100456621011E-3</v>
      </c>
      <c r="F20" s="36"/>
      <c r="G20" s="56" t="s">
        <v>18</v>
      </c>
      <c r="H20" s="61">
        <f>Dati_OPTN!C20/365</f>
        <v>5.4794520547945206E-3</v>
      </c>
      <c r="I20" s="4"/>
      <c r="J20" s="6"/>
      <c r="K20" s="56" t="s">
        <v>18</v>
      </c>
      <c r="L20" s="74">
        <f>AVERAGE(Dati_OPTN!C20:L20)</f>
        <v>1.5</v>
      </c>
      <c r="M20" s="61">
        <f>Arrivi!L20/365</f>
        <v>4.10958904109589E-3</v>
      </c>
      <c r="O20" s="6"/>
      <c r="P20" s="2" t="s">
        <v>18</v>
      </c>
      <c r="Q20" s="89">
        <f>AVERAGE(Dati_OPTN!C43:L43)</f>
        <v>1.4</v>
      </c>
      <c r="R20" s="61">
        <f>Arrivi!Q20/365</f>
        <v>3.8356164383561643E-3</v>
      </c>
    </row>
    <row r="21" spans="1:18" x14ac:dyDescent="0.25">
      <c r="A21" s="6"/>
      <c r="B21" s="56" t="s">
        <v>20</v>
      </c>
      <c r="C21" s="4">
        <f>AVERAGE(Dati_OPTN!C21:H21)</f>
        <v>1052.5</v>
      </c>
      <c r="D21" s="61">
        <f>Arrivi!$C21/365</f>
        <v>2.8835616438356166</v>
      </c>
      <c r="F21" s="36"/>
      <c r="G21" s="56" t="s">
        <v>20</v>
      </c>
      <c r="H21" s="61">
        <f>Dati_OPTN!C21/365</f>
        <v>3.1780821917808217</v>
      </c>
      <c r="I21" s="4"/>
      <c r="J21" s="6"/>
      <c r="K21" s="56" t="s">
        <v>20</v>
      </c>
      <c r="L21" s="74">
        <f>AVERAGE(Dati_OPTN!C21:L21)</f>
        <v>993.6</v>
      </c>
      <c r="M21" s="61">
        <f>Arrivi!L21/365</f>
        <v>2.7221917808219178</v>
      </c>
      <c r="O21" s="6"/>
      <c r="P21" s="2" t="s">
        <v>20</v>
      </c>
      <c r="Q21" s="89">
        <f>AVERAGE(Dati_OPTN!C44:L44)</f>
        <v>866.1</v>
      </c>
      <c r="R21" s="61">
        <f>Arrivi!Q21/365</f>
        <v>2.3728767123287673</v>
      </c>
    </row>
    <row r="22" spans="1:18" x14ac:dyDescent="0.25">
      <c r="A22" s="55"/>
      <c r="B22" s="57" t="s">
        <v>22</v>
      </c>
      <c r="C22" s="70">
        <f>AVERAGE(Dati_OPTN!C22:H22)</f>
        <v>372</v>
      </c>
      <c r="D22" s="62">
        <f>Arrivi!$C22/365</f>
        <v>1.0191780821917809</v>
      </c>
      <c r="F22" s="38"/>
      <c r="G22" s="57" t="s">
        <v>22</v>
      </c>
      <c r="H22" s="62">
        <f>Dati_OPTN!C22/365</f>
        <v>1.178082191780822</v>
      </c>
      <c r="I22" s="4"/>
      <c r="J22" s="55"/>
      <c r="K22" s="57" t="s">
        <v>22</v>
      </c>
      <c r="L22" s="75">
        <f>AVERAGE(Dati_OPTN!C22:L22)</f>
        <v>399.5</v>
      </c>
      <c r="M22" s="62">
        <f>Arrivi!L22/365</f>
        <v>1.0945205479452054</v>
      </c>
      <c r="O22" s="55"/>
      <c r="P22" s="85" t="s">
        <v>22</v>
      </c>
      <c r="Q22" s="78">
        <f>AVERAGE(Dati_OPTN!C45:L45)</f>
        <v>344.2</v>
      </c>
      <c r="R22" s="62">
        <f>Arrivi!Q22/365</f>
        <v>0.94301369863013695</v>
      </c>
    </row>
    <row r="23" spans="1:18" ht="15.75" thickBot="1" x14ac:dyDescent="0.3">
      <c r="A23" s="2"/>
      <c r="B23" s="2"/>
    </row>
    <row r="24" spans="1:18" x14ac:dyDescent="0.25">
      <c r="A24" s="111" t="s">
        <v>197</v>
      </c>
      <c r="B24" s="112"/>
      <c r="C24" s="112"/>
      <c r="D24" s="113"/>
      <c r="F24" s="111" t="s">
        <v>39</v>
      </c>
      <c r="G24" s="112"/>
      <c r="H24" s="113"/>
      <c r="J24" s="111" t="s">
        <v>209</v>
      </c>
      <c r="K24" s="112"/>
      <c r="L24" s="112"/>
      <c r="M24" s="113"/>
    </row>
    <row r="25" spans="1:18" x14ac:dyDescent="0.25">
      <c r="A25" s="58" t="s">
        <v>2</v>
      </c>
      <c r="B25" s="59" t="s">
        <v>40</v>
      </c>
      <c r="C25" s="60" t="s">
        <v>198</v>
      </c>
      <c r="D25" s="59" t="s">
        <v>41</v>
      </c>
      <c r="F25" s="63" t="s">
        <v>2</v>
      </c>
      <c r="G25" s="59" t="s">
        <v>40</v>
      </c>
      <c r="H25" s="59" t="s">
        <v>41</v>
      </c>
      <c r="J25" s="58" t="s">
        <v>2</v>
      </c>
      <c r="K25" s="59" t="s">
        <v>40</v>
      </c>
      <c r="L25" s="60" t="s">
        <v>198</v>
      </c>
      <c r="M25" s="59" t="s">
        <v>41</v>
      </c>
    </row>
    <row r="26" spans="1:18" x14ac:dyDescent="0.25">
      <c r="A26" s="64" t="s">
        <v>15</v>
      </c>
      <c r="B26" s="65" t="s">
        <v>17</v>
      </c>
      <c r="C26" s="4">
        <f>AVERAGE(Dati_OPTN!P3:U3)</f>
        <v>15244.166666666666</v>
      </c>
      <c r="D26" s="61">
        <f t="shared" ref="D26:D40" si="0">C26/365</f>
        <v>41.764840182648399</v>
      </c>
      <c r="F26" s="64" t="s">
        <v>15</v>
      </c>
      <c r="G26" s="65" t="s">
        <v>17</v>
      </c>
      <c r="H26" s="61">
        <f>Dati_OPTN!P3/365</f>
        <v>49.364383561643834</v>
      </c>
      <c r="J26" s="64" t="s">
        <v>15</v>
      </c>
      <c r="K26" s="65" t="s">
        <v>17</v>
      </c>
      <c r="L26" s="72">
        <f>AVERAGE(Dati_OPTN!P3:Y3)</f>
        <v>14451.3</v>
      </c>
      <c r="M26" s="73">
        <f>L26/365</f>
        <v>39.592602739726026</v>
      </c>
    </row>
    <row r="27" spans="1:18" x14ac:dyDescent="0.25">
      <c r="A27" s="64"/>
      <c r="B27" s="65" t="s">
        <v>19</v>
      </c>
      <c r="C27" s="4">
        <f>AVERAGE(Dati_OPTN!P4:U4)</f>
        <v>9258.1666666666661</v>
      </c>
      <c r="D27" s="61">
        <f t="shared" si="0"/>
        <v>25.3648401826484</v>
      </c>
      <c r="F27" s="64"/>
      <c r="G27" s="65" t="s">
        <v>19</v>
      </c>
      <c r="H27" s="61">
        <f>Dati_OPTN!P4/365</f>
        <v>30.553424657534247</v>
      </c>
      <c r="J27" s="64"/>
      <c r="K27" s="65" t="s">
        <v>19</v>
      </c>
      <c r="L27" s="74">
        <f>AVERAGE(Dati_OPTN!P4:Y4)</f>
        <v>8519.2999999999993</v>
      </c>
      <c r="M27" s="61">
        <f t="shared" ref="M27:M40" si="1">L27/365</f>
        <v>23.340547945205479</v>
      </c>
    </row>
    <row r="28" spans="1:18" x14ac:dyDescent="0.25">
      <c r="A28" s="64"/>
      <c r="B28" s="65" t="s">
        <v>21</v>
      </c>
      <c r="C28" s="4">
        <f>AVERAGE(Dati_OPTN!P5:U5)</f>
        <v>5986</v>
      </c>
      <c r="D28" s="61">
        <f t="shared" si="0"/>
        <v>16.399999999999999</v>
      </c>
      <c r="F28" s="64"/>
      <c r="G28" s="65" t="s">
        <v>21</v>
      </c>
      <c r="H28" s="61">
        <f>Dati_OPTN!P5/365</f>
        <v>18.81095890410959</v>
      </c>
      <c r="J28" s="64"/>
      <c r="K28" s="65" t="s">
        <v>21</v>
      </c>
      <c r="L28" s="74">
        <f>AVERAGE(Dati_OPTN!P5:Y5)</f>
        <v>5932</v>
      </c>
      <c r="M28" s="61">
        <f t="shared" si="1"/>
        <v>16.252054794520546</v>
      </c>
    </row>
    <row r="29" spans="1:18" x14ac:dyDescent="0.25">
      <c r="A29" s="64" t="s">
        <v>23</v>
      </c>
      <c r="B29" s="65" t="s">
        <v>17</v>
      </c>
      <c r="C29" s="4">
        <f>AVERAGE(Dati_OPTN!P6:U6)</f>
        <v>8180.333333333333</v>
      </c>
      <c r="D29" s="61">
        <f t="shared" si="0"/>
        <v>22.411872146118721</v>
      </c>
      <c r="F29" s="64" t="s">
        <v>23</v>
      </c>
      <c r="G29" s="65" t="s">
        <v>17</v>
      </c>
      <c r="H29" s="61">
        <f>Dati_OPTN!P6/365</f>
        <v>26.36986301369863</v>
      </c>
      <c r="J29" s="64" t="s">
        <v>23</v>
      </c>
      <c r="K29" s="65" t="s">
        <v>17</v>
      </c>
      <c r="L29" s="74">
        <f>AVERAGE(Dati_OPTN!P6:Y6)</f>
        <v>7803.2</v>
      </c>
      <c r="M29" s="61">
        <f t="shared" si="1"/>
        <v>21.378630136986303</v>
      </c>
    </row>
    <row r="30" spans="1:18" x14ac:dyDescent="0.25">
      <c r="A30" s="64"/>
      <c r="B30" s="65" t="s">
        <v>19</v>
      </c>
      <c r="C30" s="4">
        <f>AVERAGE(Dati_OPTN!P7:U7)</f>
        <v>4419</v>
      </c>
      <c r="D30" s="61">
        <f t="shared" si="0"/>
        <v>12.106849315068493</v>
      </c>
      <c r="F30" s="64"/>
      <c r="G30" s="65" t="s">
        <v>19</v>
      </c>
      <c r="H30" s="61">
        <f>Dati_OPTN!P7/365</f>
        <v>14.580821917808219</v>
      </c>
      <c r="J30" s="64"/>
      <c r="K30" s="65" t="s">
        <v>19</v>
      </c>
      <c r="L30" s="74">
        <f>AVERAGE(Dati_OPTN!P7:Y7)</f>
        <v>4060.6</v>
      </c>
      <c r="M30" s="61">
        <f t="shared" si="1"/>
        <v>11.124931506849315</v>
      </c>
    </row>
    <row r="31" spans="1:18" x14ac:dyDescent="0.25">
      <c r="A31" s="64"/>
      <c r="B31" s="65" t="s">
        <v>21</v>
      </c>
      <c r="C31" s="4">
        <f>AVERAGE(Dati_OPTN!P8:U8)</f>
        <v>3761.3333333333335</v>
      </c>
      <c r="D31" s="61">
        <f t="shared" si="0"/>
        <v>10.305022831050229</v>
      </c>
      <c r="F31" s="64"/>
      <c r="G31" s="65" t="s">
        <v>21</v>
      </c>
      <c r="H31" s="61">
        <f>Dati_OPTN!P8/365</f>
        <v>11.789041095890411</v>
      </c>
      <c r="J31" s="64"/>
      <c r="K31" s="65" t="s">
        <v>21</v>
      </c>
      <c r="L31" s="74">
        <f>AVERAGE(Dati_OPTN!P8:Y8)</f>
        <v>3742.6</v>
      </c>
      <c r="M31" s="61">
        <f t="shared" si="1"/>
        <v>10.253698630136986</v>
      </c>
    </row>
    <row r="32" spans="1:18" x14ac:dyDescent="0.25">
      <c r="A32" s="64" t="s">
        <v>24</v>
      </c>
      <c r="B32" s="65" t="s">
        <v>17</v>
      </c>
      <c r="C32" s="4">
        <f>AVERAGE(Dati_OPTN!P9:U9)</f>
        <v>5087.5</v>
      </c>
      <c r="D32" s="61">
        <f t="shared" si="0"/>
        <v>13.938356164383562</v>
      </c>
      <c r="F32" s="64" t="s">
        <v>24</v>
      </c>
      <c r="G32" s="65" t="s">
        <v>17</v>
      </c>
      <c r="H32" s="61">
        <f>Dati_OPTN!P9/365</f>
        <v>16.482191780821918</v>
      </c>
      <c r="J32" s="64" t="s">
        <v>24</v>
      </c>
      <c r="K32" s="65" t="s">
        <v>17</v>
      </c>
      <c r="L32" s="74">
        <f>AVERAGE(Dati_OPTN!P9:Y9)</f>
        <v>4778.3999999999996</v>
      </c>
      <c r="M32" s="61">
        <f t="shared" si="1"/>
        <v>13.091506849315067</v>
      </c>
    </row>
    <row r="33" spans="1:13" x14ac:dyDescent="0.25">
      <c r="A33" s="64"/>
      <c r="B33" s="65" t="s">
        <v>19</v>
      </c>
      <c r="C33" s="4">
        <f>AVERAGE(Dati_OPTN!P10:U10)</f>
        <v>3430.5</v>
      </c>
      <c r="D33" s="61">
        <f t="shared" si="0"/>
        <v>9.3986301369863021</v>
      </c>
      <c r="F33" s="64"/>
      <c r="G33" s="65" t="s">
        <v>19</v>
      </c>
      <c r="H33" s="61">
        <f>Dati_OPTN!P10/365</f>
        <v>11.306849315068494</v>
      </c>
      <c r="J33" s="64"/>
      <c r="K33" s="65" t="s">
        <v>19</v>
      </c>
      <c r="L33" s="74">
        <f>AVERAGE(Dati_OPTN!P10:Y10)</f>
        <v>3151.7</v>
      </c>
      <c r="M33" s="61">
        <f t="shared" si="1"/>
        <v>8.6347945205479455</v>
      </c>
    </row>
    <row r="34" spans="1:13" x14ac:dyDescent="0.25">
      <c r="A34" s="64"/>
      <c r="B34" s="65" t="s">
        <v>21</v>
      </c>
      <c r="C34" s="4">
        <f>AVERAGE(Dati_OPTN!P11:U11)</f>
        <v>1657</v>
      </c>
      <c r="D34" s="61">
        <f t="shared" si="0"/>
        <v>4.5397260273972604</v>
      </c>
      <c r="F34" s="64"/>
      <c r="G34" s="65" t="s">
        <v>21</v>
      </c>
      <c r="H34" s="61">
        <f>Dati_OPTN!P11/365</f>
        <v>5.1753424657534248</v>
      </c>
      <c r="J34" s="64"/>
      <c r="K34" s="65" t="s">
        <v>21</v>
      </c>
      <c r="L34" s="74">
        <f>AVERAGE(Dati_OPTN!P11:Y11)</f>
        <v>1626.7</v>
      </c>
      <c r="M34" s="61">
        <f t="shared" si="1"/>
        <v>4.4567123287671233</v>
      </c>
    </row>
    <row r="35" spans="1:13" x14ac:dyDescent="0.25">
      <c r="A35" s="64" t="s">
        <v>25</v>
      </c>
      <c r="B35" s="65" t="s">
        <v>17</v>
      </c>
      <c r="C35" s="4">
        <f>AVERAGE(Dati_OPTN!P12:U12)</f>
        <v>1578.3333333333333</v>
      </c>
      <c r="D35" s="61">
        <f t="shared" si="0"/>
        <v>4.3242009132420085</v>
      </c>
      <c r="F35" s="64" t="s">
        <v>25</v>
      </c>
      <c r="G35" s="65" t="s">
        <v>17</v>
      </c>
      <c r="H35" s="61">
        <f>Dati_OPTN!P12/365</f>
        <v>5.1369863013698627</v>
      </c>
      <c r="J35" s="64" t="s">
        <v>25</v>
      </c>
      <c r="K35" s="65" t="s">
        <v>17</v>
      </c>
      <c r="L35" s="74">
        <f>AVERAGE(Dati_OPTN!P12:Y12)</f>
        <v>1500.9</v>
      </c>
      <c r="M35" s="61">
        <f t="shared" si="1"/>
        <v>4.1120547945205486</v>
      </c>
    </row>
    <row r="36" spans="1:13" x14ac:dyDescent="0.25">
      <c r="A36" s="64"/>
      <c r="B36" s="65" t="s">
        <v>19</v>
      </c>
      <c r="C36" s="4">
        <f>AVERAGE(Dati_OPTN!P13:U13)</f>
        <v>1090.5</v>
      </c>
      <c r="D36" s="61">
        <f t="shared" si="0"/>
        <v>2.9876712328767123</v>
      </c>
      <c r="F36" s="64"/>
      <c r="G36" s="65" t="s">
        <v>19</v>
      </c>
      <c r="H36" s="61">
        <f>Dati_OPTN!P13/365</f>
        <v>3.5972602739726027</v>
      </c>
      <c r="J36" s="64"/>
      <c r="K36" s="65" t="s">
        <v>19</v>
      </c>
      <c r="L36" s="74">
        <f>AVERAGE(Dati_OPTN!P13:Y13)</f>
        <v>1013.7</v>
      </c>
      <c r="M36" s="61">
        <f t="shared" si="1"/>
        <v>2.7772602739726029</v>
      </c>
    </row>
    <row r="37" spans="1:13" x14ac:dyDescent="0.25">
      <c r="A37" s="64"/>
      <c r="B37" s="65" t="s">
        <v>21</v>
      </c>
      <c r="C37" s="4">
        <f>AVERAGE(Dati_OPTN!P14:U14)</f>
        <v>487.83333333333331</v>
      </c>
      <c r="D37" s="61">
        <f t="shared" si="0"/>
        <v>1.3365296803652968</v>
      </c>
      <c r="F37" s="64"/>
      <c r="G37" s="65" t="s">
        <v>21</v>
      </c>
      <c r="H37" s="61">
        <f>Dati_OPTN!P14/365</f>
        <v>1.5397260273972602</v>
      </c>
      <c r="J37" s="64"/>
      <c r="K37" s="65" t="s">
        <v>21</v>
      </c>
      <c r="L37" s="74">
        <f>AVERAGE(Dati_OPTN!P14:Y14)</f>
        <v>487.2</v>
      </c>
      <c r="M37" s="61">
        <f t="shared" si="1"/>
        <v>1.3347945205479452</v>
      </c>
    </row>
    <row r="38" spans="1:13" x14ac:dyDescent="0.25">
      <c r="A38" s="64" t="s">
        <v>26</v>
      </c>
      <c r="B38" s="65" t="s">
        <v>17</v>
      </c>
      <c r="C38" s="4">
        <f>AVERAGE(Dati_OPTN!P15:U15)</f>
        <v>398</v>
      </c>
      <c r="D38" s="61">
        <f t="shared" si="0"/>
        <v>1.0904109589041096</v>
      </c>
      <c r="F38" s="64" t="s">
        <v>26</v>
      </c>
      <c r="G38" s="65" t="s">
        <v>17</v>
      </c>
      <c r="H38" s="61">
        <f>Dati_OPTN!P15/365</f>
        <v>1.3753424657534246</v>
      </c>
      <c r="J38" s="64" t="s">
        <v>26</v>
      </c>
      <c r="K38" s="65" t="s">
        <v>17</v>
      </c>
      <c r="L38" s="74">
        <f>AVERAGE(Dati_OPTN!P15:Y15)</f>
        <v>368.8</v>
      </c>
      <c r="M38" s="61">
        <f t="shared" si="1"/>
        <v>1.0104109589041097</v>
      </c>
    </row>
    <row r="39" spans="1:13" x14ac:dyDescent="0.25">
      <c r="A39" s="64"/>
      <c r="B39" s="65" t="s">
        <v>19</v>
      </c>
      <c r="C39" s="4">
        <f>AVERAGE(Dati_OPTN!P16:U16)</f>
        <v>318.16666666666669</v>
      </c>
      <c r="D39" s="61">
        <f t="shared" si="0"/>
        <v>0.87168949771689508</v>
      </c>
      <c r="F39" s="64"/>
      <c r="G39" s="65" t="s">
        <v>19</v>
      </c>
      <c r="H39" s="61">
        <f>Dati_OPTN!P16/365</f>
        <v>1.0684931506849316</v>
      </c>
      <c r="J39" s="64"/>
      <c r="K39" s="65" t="s">
        <v>19</v>
      </c>
      <c r="L39" s="74">
        <f>AVERAGE(Dati_OPTN!P16:Y16)</f>
        <v>293.3</v>
      </c>
      <c r="M39" s="61">
        <f t="shared" si="1"/>
        <v>0.80356164383561646</v>
      </c>
    </row>
    <row r="40" spans="1:13" x14ac:dyDescent="0.25">
      <c r="A40" s="66"/>
      <c r="B40" s="67" t="s">
        <v>21</v>
      </c>
      <c r="C40" s="70">
        <f>AVERAGE(Dati_OPTN!P17:U17)</f>
        <v>79.833333333333329</v>
      </c>
      <c r="D40" s="62">
        <f t="shared" si="0"/>
        <v>0.21872146118721461</v>
      </c>
      <c r="F40" s="66"/>
      <c r="G40" s="67" t="s">
        <v>21</v>
      </c>
      <c r="H40" s="62">
        <f>Dati_OPTN!P17/365</f>
        <v>0.30684931506849317</v>
      </c>
      <c r="J40" s="66"/>
      <c r="K40" s="67" t="s">
        <v>21</v>
      </c>
      <c r="L40" s="75">
        <f>AVERAGE(Dati_OPTN!P17:Y17)</f>
        <v>75.5</v>
      </c>
      <c r="M40" s="62">
        <f t="shared" si="1"/>
        <v>0.20684931506849316</v>
      </c>
    </row>
  </sheetData>
  <mergeCells count="7">
    <mergeCell ref="O1:R1"/>
    <mergeCell ref="A1:D1"/>
    <mergeCell ref="F1:H1"/>
    <mergeCell ref="A24:D24"/>
    <mergeCell ref="F24:H24"/>
    <mergeCell ref="J1:M1"/>
    <mergeCell ref="J24:M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8"/>
  <sheetViews>
    <sheetView topLeftCell="A43" zoomScaleNormal="100" workbookViewId="0">
      <selection activeCell="N46" sqref="N46"/>
    </sheetView>
  </sheetViews>
  <sheetFormatPr defaultColWidth="9.140625" defaultRowHeight="15" x14ac:dyDescent="0.25"/>
  <cols>
    <col min="1" max="1" width="11.85546875" customWidth="1"/>
    <col min="2" max="2" width="15.42578125" customWidth="1"/>
    <col min="3" max="3" width="15.85546875" customWidth="1"/>
    <col min="4" max="4" width="14.42578125" customWidth="1"/>
    <col min="5" max="5" width="14.7109375" customWidth="1"/>
    <col min="6" max="6" width="4.85546875" customWidth="1"/>
    <col min="7" max="7" width="10.7109375" customWidth="1"/>
    <col min="8" max="8" width="11.42578125" customWidth="1"/>
    <col min="9" max="9" width="14.140625" customWidth="1"/>
    <col min="10" max="10" width="14" customWidth="1"/>
    <col min="11" max="11" width="4.7109375" customWidth="1"/>
    <col min="14" max="14" width="15.140625" customWidth="1"/>
    <col min="15" max="16" width="16.140625" customWidth="1"/>
  </cols>
  <sheetData>
    <row r="1" spans="1:16" x14ac:dyDescent="0.25">
      <c r="A1" s="114" t="s">
        <v>199</v>
      </c>
      <c r="B1" s="114"/>
      <c r="C1" s="114"/>
      <c r="D1" s="114"/>
      <c r="E1" s="117"/>
      <c r="G1" s="114" t="s">
        <v>42</v>
      </c>
      <c r="H1" s="118"/>
      <c r="I1" s="118"/>
      <c r="J1" s="119"/>
      <c r="L1" s="114" t="s">
        <v>210</v>
      </c>
      <c r="M1" s="114"/>
      <c r="N1" s="114"/>
      <c r="O1" s="114"/>
      <c r="P1" s="117"/>
    </row>
    <row r="2" spans="1:16" x14ac:dyDescent="0.25">
      <c r="A2" s="63" t="s">
        <v>2</v>
      </c>
      <c r="B2" s="68" t="s">
        <v>3</v>
      </c>
      <c r="C2" s="69" t="s">
        <v>200</v>
      </c>
      <c r="D2" s="69" t="s">
        <v>44</v>
      </c>
      <c r="E2" s="88" t="s">
        <v>43</v>
      </c>
      <c r="G2" s="63" t="s">
        <v>2</v>
      </c>
      <c r="H2" s="69" t="s">
        <v>3</v>
      </c>
      <c r="I2" s="63" t="s">
        <v>44</v>
      </c>
      <c r="J2" s="88" t="s">
        <v>43</v>
      </c>
      <c r="L2" s="63" t="s">
        <v>2</v>
      </c>
      <c r="M2" s="68" t="s">
        <v>3</v>
      </c>
      <c r="N2" s="63" t="s">
        <v>200</v>
      </c>
      <c r="O2" s="69" t="s">
        <v>44</v>
      </c>
      <c r="P2" s="88" t="s">
        <v>43</v>
      </c>
    </row>
    <row r="3" spans="1:16" x14ac:dyDescent="0.25">
      <c r="A3" s="6" t="s">
        <v>15</v>
      </c>
      <c r="B3" s="56" t="s">
        <v>16</v>
      </c>
      <c r="C3" s="4">
        <f>AVERAGE(Dati_OPTN!C49:H49)</f>
        <v>4495.833333333333</v>
      </c>
      <c r="D3" s="4">
        <f>Uscite!$C3/365</f>
        <v>12.317351598173515</v>
      </c>
      <c r="E3" s="89">
        <f>Uscite!$C3/Arrivi!$C3</f>
        <v>0.12015483158279212</v>
      </c>
      <c r="G3" s="6" t="s">
        <v>15</v>
      </c>
      <c r="H3" s="2" t="s">
        <v>16</v>
      </c>
      <c r="I3" s="86">
        <f>Dati_OPTN!C49/365</f>
        <v>10.832876712328767</v>
      </c>
      <c r="J3" s="89">
        <f>I3/Arrivi!H3</f>
        <v>9.5162454873646204E-2</v>
      </c>
      <c r="L3" s="6" t="s">
        <v>15</v>
      </c>
      <c r="M3" s="56" t="s">
        <v>16</v>
      </c>
      <c r="N3" s="74">
        <f>AVERAGE(Dati_OPTN!C49:L49)</f>
        <v>4596.8</v>
      </c>
      <c r="O3" s="4">
        <f>N3/365</f>
        <v>12.593972602739727</v>
      </c>
      <c r="P3" s="89">
        <f>N3/Arrivi!$C3</f>
        <v>0.12285324852339846</v>
      </c>
    </row>
    <row r="4" spans="1:16" x14ac:dyDescent="0.25">
      <c r="A4" s="6"/>
      <c r="B4" s="56" t="s">
        <v>18</v>
      </c>
      <c r="C4" s="4">
        <f>AVERAGE(Dati_OPTN!C50:H50)</f>
        <v>1.3333333333333333</v>
      </c>
      <c r="D4" s="4">
        <f>Uscite!$C4/365</f>
        <v>3.6529680365296802E-3</v>
      </c>
      <c r="E4" s="89">
        <f>Uscite!$C4/Arrivi!$C4</f>
        <v>3.5714285714285712E-2</v>
      </c>
      <c r="G4" s="6"/>
      <c r="H4" s="2" t="s">
        <v>18</v>
      </c>
      <c r="I4" s="86">
        <f>Dati_OPTN!C50/365</f>
        <v>2.7397260273972603E-3</v>
      </c>
      <c r="J4" s="89">
        <f>I4/Arrivi!H4</f>
        <v>2.4390243902439025E-2</v>
      </c>
      <c r="L4" s="6"/>
      <c r="M4" s="56" t="s">
        <v>18</v>
      </c>
      <c r="N4" s="74">
        <f>AVERAGE(Dati_OPTN!C50:L50)</f>
        <v>3.1</v>
      </c>
      <c r="O4" s="4">
        <f t="shared" ref="O4:O22" si="0">N4/365</f>
        <v>8.493150684931507E-3</v>
      </c>
      <c r="P4" s="89">
        <f>N4/Arrivi!$C4</f>
        <v>8.3035714285714282E-2</v>
      </c>
    </row>
    <row r="5" spans="1:16" x14ac:dyDescent="0.25">
      <c r="A5" s="6"/>
      <c r="B5" s="56" t="s">
        <v>20</v>
      </c>
      <c r="C5" s="4">
        <f>AVERAGE(Dati_OPTN!C51:H51)</f>
        <v>1681</v>
      </c>
      <c r="D5" s="4">
        <f>Uscite!$C5/365</f>
        <v>4.6054794520547944</v>
      </c>
      <c r="E5" s="89">
        <f>Uscite!$C5/Arrivi!$C5</f>
        <v>5.9978591817316837E-2</v>
      </c>
      <c r="G5" s="6"/>
      <c r="H5" s="2" t="s">
        <v>20</v>
      </c>
      <c r="I5" s="86">
        <f>Dati_OPTN!C51/365</f>
        <v>4.2356164383561641</v>
      </c>
      <c r="J5" s="89">
        <f>I5/Arrivi!H5</f>
        <v>4.9610114558932064E-2</v>
      </c>
      <c r="L5" s="6"/>
      <c r="M5" s="56" t="s">
        <v>20</v>
      </c>
      <c r="N5" s="74">
        <f>AVERAGE(Dati_OPTN!C51:L51)</f>
        <v>1736.3</v>
      </c>
      <c r="O5" s="4">
        <f t="shared" si="0"/>
        <v>4.7569863013698628</v>
      </c>
      <c r="P5" s="89">
        <f>N5/Arrivi!$C5</f>
        <v>6.1951712654614646E-2</v>
      </c>
    </row>
    <row r="6" spans="1:16" x14ac:dyDescent="0.25">
      <c r="A6" s="6"/>
      <c r="B6" s="56" t="s">
        <v>22</v>
      </c>
      <c r="C6" s="4">
        <f>AVERAGE(Dati_OPTN!C52:H52)</f>
        <v>2813.5</v>
      </c>
      <c r="D6" s="4">
        <f>Uscite!$C6/365</f>
        <v>7.7082191780821914</v>
      </c>
      <c r="E6" s="89">
        <f>Uscite!$C6/Arrivi!$C6</f>
        <v>0.30081257350582702</v>
      </c>
      <c r="G6" s="6"/>
      <c r="H6" s="2" t="s">
        <v>22</v>
      </c>
      <c r="I6" s="86">
        <f>Dati_OPTN!C52/365</f>
        <v>6.5945205479452058</v>
      </c>
      <c r="J6" s="89">
        <f>I6/Arrivi!H6</f>
        <v>0.23265029963270831</v>
      </c>
      <c r="L6" s="6"/>
      <c r="M6" s="56" t="s">
        <v>22</v>
      </c>
      <c r="N6" s="74">
        <f>AVERAGE(Dati_OPTN!C52:L52)</f>
        <v>2857.4</v>
      </c>
      <c r="O6" s="4">
        <f t="shared" si="0"/>
        <v>7.828493150684932</v>
      </c>
      <c r="P6" s="89">
        <f>N6/Arrivi!$C6</f>
        <v>0.30550625467764353</v>
      </c>
    </row>
    <row r="7" spans="1:16" x14ac:dyDescent="0.25">
      <c r="A7" s="6" t="s">
        <v>23</v>
      </c>
      <c r="B7" s="56" t="s">
        <v>16</v>
      </c>
      <c r="C7" s="4">
        <f>AVERAGE(Dati_OPTN!C53:H53)</f>
        <v>2355.5</v>
      </c>
      <c r="D7" s="4">
        <f>Uscite!$C7/365</f>
        <v>6.4534246575342467</v>
      </c>
      <c r="E7" s="89">
        <f>Uscite!$C7/Arrivi!$C7</f>
        <v>0.12908263919333626</v>
      </c>
      <c r="G7" s="6" t="s">
        <v>23</v>
      </c>
      <c r="H7" s="2" t="s">
        <v>16</v>
      </c>
      <c r="I7" s="86">
        <f>Dati_OPTN!C53/365</f>
        <v>5.8575342465753426</v>
      </c>
      <c r="J7" s="89">
        <f>I7/Arrivi!H7</f>
        <v>0.10506658803872428</v>
      </c>
      <c r="L7" s="6" t="s">
        <v>23</v>
      </c>
      <c r="M7" s="56" t="s">
        <v>16</v>
      </c>
      <c r="N7" s="74">
        <f>AVERAGE(Dati_OPTN!C53:L53)</f>
        <v>2399.5</v>
      </c>
      <c r="O7" s="4">
        <f t="shared" si="0"/>
        <v>6.5739726027397261</v>
      </c>
      <c r="P7" s="89">
        <f>N7/Arrivi!$C7</f>
        <v>0.13149386234107849</v>
      </c>
    </row>
    <row r="8" spans="1:16" x14ac:dyDescent="0.25">
      <c r="A8" s="6"/>
      <c r="B8" s="56" t="s">
        <v>18</v>
      </c>
      <c r="C8" s="4">
        <f>AVERAGE(Dati_OPTN!C54:H54)</f>
        <v>1</v>
      </c>
      <c r="D8" s="4">
        <f>Uscite!$C8/365</f>
        <v>2.7397260273972603E-3</v>
      </c>
      <c r="E8" s="89">
        <f>Uscite!$C8/Arrivi!$C8</f>
        <v>5.2631578947368418E-2</v>
      </c>
      <c r="G8" s="6"/>
      <c r="H8" s="2" t="s">
        <v>18</v>
      </c>
      <c r="I8" s="86">
        <f>Dati_OPTN!C54/365</f>
        <v>2.7397260273972603E-3</v>
      </c>
      <c r="J8" s="89">
        <f>I8/Arrivi!H8</f>
        <v>5.2631578947368418E-2</v>
      </c>
      <c r="L8" s="6"/>
      <c r="M8" s="56" t="s">
        <v>18</v>
      </c>
      <c r="N8" s="74">
        <f>AVERAGE(Dati_OPTN!C54:L54)</f>
        <v>1.5</v>
      </c>
      <c r="O8" s="4">
        <f t="shared" si="0"/>
        <v>4.10958904109589E-3</v>
      </c>
      <c r="P8" s="89">
        <f>N8/Arrivi!$C8</f>
        <v>7.8947368421052627E-2</v>
      </c>
    </row>
    <row r="9" spans="1:16" x14ac:dyDescent="0.25">
      <c r="A9" s="6"/>
      <c r="B9" s="56" t="s">
        <v>20</v>
      </c>
      <c r="C9" s="4">
        <f>AVERAGE(Dati_OPTN!C55:H55)</f>
        <v>913.83333333333337</v>
      </c>
      <c r="D9" s="4">
        <f>Uscite!$C9/365</f>
        <v>2.5036529680365298</v>
      </c>
      <c r="E9" s="89">
        <f>Uscite!$C9/Arrivi!$C9</f>
        <v>6.639702587824993E-2</v>
      </c>
      <c r="G9" s="6"/>
      <c r="H9" s="2" t="s">
        <v>20</v>
      </c>
      <c r="I9" s="86">
        <f>Dati_OPTN!C55/365</f>
        <v>2.3945205479452056</v>
      </c>
      <c r="J9" s="89">
        <f>I9/Arrivi!H9</f>
        <v>5.677905541479894E-2</v>
      </c>
      <c r="L9" s="6"/>
      <c r="M9" s="56" t="s">
        <v>20</v>
      </c>
      <c r="N9" s="74">
        <f>AVERAGE(Dati_OPTN!C55:L55)</f>
        <v>938.3</v>
      </c>
      <c r="O9" s="4">
        <f t="shared" si="0"/>
        <v>2.5706849315068494</v>
      </c>
      <c r="P9" s="89">
        <f>N9/Arrivi!$C9</f>
        <v>6.8174717543201049E-2</v>
      </c>
    </row>
    <row r="10" spans="1:16" x14ac:dyDescent="0.25">
      <c r="A10" s="6"/>
      <c r="B10" s="56" t="s">
        <v>22</v>
      </c>
      <c r="C10" s="4">
        <f>AVERAGE(Dati_OPTN!C56:H56)</f>
        <v>1440.6666666666667</v>
      </c>
      <c r="D10" s="4">
        <f>Uscite!$C10/365</f>
        <v>3.9470319634703199</v>
      </c>
      <c r="E10" s="89">
        <f>Uscite!$C10/Arrivi!$C10</f>
        <v>0.32259749953349509</v>
      </c>
      <c r="G10" s="6"/>
      <c r="H10" s="2" t="s">
        <v>22</v>
      </c>
      <c r="I10" s="86">
        <f>Dati_OPTN!C56/365</f>
        <v>3.4602739726027396</v>
      </c>
      <c r="J10" s="89">
        <f>I10/Arrivi!H10</f>
        <v>0.25582337451893861</v>
      </c>
      <c r="L10" s="6"/>
      <c r="M10" s="56" t="s">
        <v>22</v>
      </c>
      <c r="N10" s="74">
        <f>AVERAGE(Dati_OPTN!C56:L56)</f>
        <v>1459.7</v>
      </c>
      <c r="O10" s="4">
        <f t="shared" si="0"/>
        <v>3.9991780821917811</v>
      </c>
      <c r="P10" s="89">
        <f>N10/Arrivi!$C10</f>
        <v>0.32685948871058035</v>
      </c>
    </row>
    <row r="11" spans="1:16" x14ac:dyDescent="0.25">
      <c r="A11" s="6" t="s">
        <v>24</v>
      </c>
      <c r="B11" s="56" t="s">
        <v>16</v>
      </c>
      <c r="C11" s="4">
        <f>AVERAGE(Dati_OPTN!C57:H57)</f>
        <v>1294</v>
      </c>
      <c r="D11" s="4">
        <f>Uscite!$C11/365</f>
        <v>3.5452054794520547</v>
      </c>
      <c r="E11" s="89">
        <f>Uscite!$C11/Arrivi!$C11</f>
        <v>0.10626591114395992</v>
      </c>
      <c r="G11" s="6" t="s">
        <v>24</v>
      </c>
      <c r="H11" s="2" t="s">
        <v>16</v>
      </c>
      <c r="I11" s="86">
        <f>Dati_OPTN!C57/365</f>
        <v>2.9150684931506849</v>
      </c>
      <c r="J11" s="89">
        <f>I11/Arrivi!H11</f>
        <v>7.906078169118741E-2</v>
      </c>
      <c r="L11" s="6" t="s">
        <v>24</v>
      </c>
      <c r="M11" s="56" t="s">
        <v>16</v>
      </c>
      <c r="N11" s="74">
        <f>AVERAGE(Dati_OPTN!C57:L57)</f>
        <v>1333.8</v>
      </c>
      <c r="O11" s="4">
        <f t="shared" si="0"/>
        <v>3.6542465753424658</v>
      </c>
      <c r="P11" s="89">
        <f>N11/Arrivi!$C11</f>
        <v>0.10953436807095343</v>
      </c>
    </row>
    <row r="12" spans="1:16" x14ac:dyDescent="0.25">
      <c r="A12" s="6"/>
      <c r="B12" s="56" t="s">
        <v>18</v>
      </c>
      <c r="C12" s="4">
        <f>AVERAGE(Dati_OPTN!C58:H58)</f>
        <v>0.33333333333333331</v>
      </c>
      <c r="D12" s="4">
        <f>Uscite!$C12/365</f>
        <v>9.1324200913242006E-4</v>
      </c>
      <c r="E12" s="89">
        <f>Uscite!$C12/Arrivi!$C12</f>
        <v>3.125E-2</v>
      </c>
      <c r="G12" s="6"/>
      <c r="H12" s="2" t="s">
        <v>18</v>
      </c>
      <c r="I12" s="86">
        <f>Dati_OPTN!C58/365</f>
        <v>0</v>
      </c>
      <c r="J12" s="89">
        <f>I12/Arrivi!H12</f>
        <v>0</v>
      </c>
      <c r="L12" s="6"/>
      <c r="M12" s="56" t="s">
        <v>18</v>
      </c>
      <c r="N12" s="74">
        <f>AVERAGE(Dati_OPTN!C58:L58)</f>
        <v>1</v>
      </c>
      <c r="O12" s="4">
        <f t="shared" si="0"/>
        <v>2.7397260273972603E-3</v>
      </c>
      <c r="P12" s="89">
        <f>N12/Arrivi!$C12</f>
        <v>9.375E-2</v>
      </c>
    </row>
    <row r="13" spans="1:16" x14ac:dyDescent="0.25">
      <c r="A13" s="6"/>
      <c r="B13" s="56" t="s">
        <v>20</v>
      </c>
      <c r="C13" s="4">
        <f>AVERAGE(Dati_OPTN!C59:H59)</f>
        <v>445.5</v>
      </c>
      <c r="D13" s="4">
        <f>Uscite!$C13/365</f>
        <v>1.2205479452054795</v>
      </c>
      <c r="E13" s="89">
        <f>Uscite!$C13/Arrivi!$C13</f>
        <v>4.9440488301119023E-2</v>
      </c>
      <c r="G13" s="6"/>
      <c r="H13" s="2" t="s">
        <v>20</v>
      </c>
      <c r="I13" s="86">
        <f>Dati_OPTN!C59/365</f>
        <v>1.0082191780821919</v>
      </c>
      <c r="J13" s="89">
        <f>I13/Arrivi!H13</f>
        <v>3.710425489009881E-2</v>
      </c>
      <c r="L13" s="6"/>
      <c r="M13" s="56" t="s">
        <v>20</v>
      </c>
      <c r="N13" s="74">
        <f>AVERAGE(Dati_OPTN!C59:L59)</f>
        <v>469.5</v>
      </c>
      <c r="O13" s="4">
        <f t="shared" si="0"/>
        <v>1.2863013698630137</v>
      </c>
      <c r="P13" s="89">
        <f>N13/Arrivi!$C13</f>
        <v>5.2103948950337556E-2</v>
      </c>
    </row>
    <row r="14" spans="1:16" x14ac:dyDescent="0.25">
      <c r="A14" s="6"/>
      <c r="B14" s="56" t="s">
        <v>22</v>
      </c>
      <c r="C14" s="4">
        <f>AVERAGE(Dati_OPTN!C60:H60)</f>
        <v>848.16666666666663</v>
      </c>
      <c r="D14" s="4">
        <f>Uscite!$C14/365</f>
        <v>2.3237442922374427</v>
      </c>
      <c r="E14" s="89">
        <f>Uscite!$C14/Arrivi!$C14</f>
        <v>0.26878994348492052</v>
      </c>
      <c r="G14" s="6"/>
      <c r="H14" s="2" t="s">
        <v>22</v>
      </c>
      <c r="I14" s="86">
        <f>Dati_OPTN!C60/365</f>
        <v>1.9068493150684931</v>
      </c>
      <c r="J14" s="89">
        <f>I14/Arrivi!H14</f>
        <v>0.19716713881019829</v>
      </c>
      <c r="L14" s="6"/>
      <c r="M14" s="56" t="s">
        <v>22</v>
      </c>
      <c r="N14" s="74">
        <f>AVERAGE(Dati_OPTN!C60:L60)</f>
        <v>863.3</v>
      </c>
      <c r="O14" s="4">
        <f t="shared" si="0"/>
        <v>2.3652054794520545</v>
      </c>
      <c r="P14" s="89">
        <f>N14/Arrivi!$C14</f>
        <v>0.27358580256694659</v>
      </c>
    </row>
    <row r="15" spans="1:16" x14ac:dyDescent="0.25">
      <c r="A15" s="6" t="s">
        <v>25</v>
      </c>
      <c r="B15" s="56" t="s">
        <v>16</v>
      </c>
      <c r="C15" s="4">
        <f>AVERAGE(Dati_OPTN!C61:H61)</f>
        <v>725.66666666666663</v>
      </c>
      <c r="D15" s="4">
        <f>Uscite!$C15/365</f>
        <v>1.9881278538812783</v>
      </c>
      <c r="E15" s="89">
        <f>Uscite!$C15/Arrivi!$C15</f>
        <v>0.13037879922144033</v>
      </c>
      <c r="G15" s="6" t="s">
        <v>25</v>
      </c>
      <c r="H15" s="2" t="s">
        <v>16</v>
      </c>
      <c r="I15" s="86">
        <f>Dati_OPTN!C61/365</f>
        <v>1.7863013698630137</v>
      </c>
      <c r="J15" s="89">
        <f>I15/Arrivi!H15</f>
        <v>0.10599902454885385</v>
      </c>
      <c r="L15" s="6" t="s">
        <v>25</v>
      </c>
      <c r="M15" s="56" t="s">
        <v>16</v>
      </c>
      <c r="N15" s="74">
        <f>AVERAGE(Dati_OPTN!C61:L61)</f>
        <v>733.9</v>
      </c>
      <c r="O15" s="4">
        <f t="shared" si="0"/>
        <v>2.0106849315068493</v>
      </c>
      <c r="P15" s="89">
        <f>N15/Arrivi!$C15</f>
        <v>0.1318580625842192</v>
      </c>
    </row>
    <row r="16" spans="1:16" x14ac:dyDescent="0.25">
      <c r="A16" s="6"/>
      <c r="B16" s="56" t="s">
        <v>18</v>
      </c>
      <c r="C16" s="4">
        <f>AVERAGE(Dati_OPTN!C62:H62)</f>
        <v>0</v>
      </c>
      <c r="D16" s="4">
        <f>Uscite!$C16/365</f>
        <v>0</v>
      </c>
      <c r="E16" s="89">
        <f>Uscite!$C16/Arrivi!$C16</f>
        <v>0</v>
      </c>
      <c r="G16" s="6"/>
      <c r="H16" s="2" t="s">
        <v>18</v>
      </c>
      <c r="I16" s="86">
        <f>Dati_OPTN!C62/365</f>
        <v>0</v>
      </c>
      <c r="J16" s="89">
        <f>I16/Arrivi!H16</f>
        <v>0</v>
      </c>
      <c r="L16" s="6"/>
      <c r="M16" s="56" t="s">
        <v>18</v>
      </c>
      <c r="N16" s="74">
        <f>AVERAGE(Dati_OPTN!C62:L62)</f>
        <v>0.5</v>
      </c>
      <c r="O16" s="4">
        <f t="shared" si="0"/>
        <v>1.3698630136986301E-3</v>
      </c>
      <c r="P16" s="89">
        <f>N16/Arrivi!$C16</f>
        <v>8.3333333333333329E-2</v>
      </c>
    </row>
    <row r="17" spans="1:16" x14ac:dyDescent="0.25">
      <c r="A17" s="6"/>
      <c r="B17" s="56" t="s">
        <v>20</v>
      </c>
      <c r="C17" s="4">
        <f>AVERAGE(Dati_OPTN!C63:H63)</f>
        <v>283.16666666666669</v>
      </c>
      <c r="D17" s="4">
        <f>Uscite!$C17/365</f>
        <v>0.77579908675799092</v>
      </c>
      <c r="E17" s="89">
        <f>Uscite!$C17/Arrivi!$C17</f>
        <v>6.7417959604777589E-2</v>
      </c>
      <c r="G17" s="6"/>
      <c r="H17" s="2" t="s">
        <v>20</v>
      </c>
      <c r="I17" s="86">
        <f>Dati_OPTN!C63/365</f>
        <v>0.73972602739726023</v>
      </c>
      <c r="J17" s="89">
        <f>I17/Arrivi!H17</f>
        <v>5.754475703324808E-2</v>
      </c>
      <c r="L17" s="6"/>
      <c r="M17" s="56" t="s">
        <v>20</v>
      </c>
      <c r="N17" s="74">
        <f>AVERAGE(Dati_OPTN!C63:L63)</f>
        <v>285.60000000000002</v>
      </c>
      <c r="O17" s="4">
        <f t="shared" si="0"/>
        <v>0.78246575342465763</v>
      </c>
      <c r="P17" s="89">
        <f>N17/Arrivi!$C17</f>
        <v>6.7997301694377205E-2</v>
      </c>
    </row>
    <row r="18" spans="1:16" x14ac:dyDescent="0.25">
      <c r="A18" s="6"/>
      <c r="B18" s="56" t="s">
        <v>22</v>
      </c>
      <c r="C18" s="4">
        <f>AVERAGE(Dati_OPTN!C64:H64)</f>
        <v>442.5</v>
      </c>
      <c r="D18" s="4">
        <f>Uscite!$C18/365</f>
        <v>1.2123287671232876</v>
      </c>
      <c r="E18" s="89">
        <f>Uscite!$C18/Arrivi!$C18</f>
        <v>0.32544741358176021</v>
      </c>
      <c r="G18" s="6"/>
      <c r="H18" s="2" t="s">
        <v>22</v>
      </c>
      <c r="I18" s="86">
        <f>Dati_OPTN!C64/365</f>
        <v>1.0465753424657533</v>
      </c>
      <c r="J18" s="89">
        <f>I18/Arrivi!H18</f>
        <v>0.26363008971704621</v>
      </c>
      <c r="K18" s="8"/>
      <c r="L18" s="6"/>
      <c r="M18" s="56" t="s">
        <v>22</v>
      </c>
      <c r="N18" s="74">
        <f>AVERAGE(Dati_OPTN!C64:L64)</f>
        <v>447.8</v>
      </c>
      <c r="O18" s="4">
        <f t="shared" si="0"/>
        <v>1.2268493150684932</v>
      </c>
      <c r="P18" s="89">
        <f>N18/Arrivi!$C18</f>
        <v>0.32934542780093157</v>
      </c>
    </row>
    <row r="19" spans="1:16" x14ac:dyDescent="0.25">
      <c r="A19" s="6" t="s">
        <v>26</v>
      </c>
      <c r="B19" s="56" t="s">
        <v>16</v>
      </c>
      <c r="C19" s="4">
        <f>AVERAGE(Dati_OPTN!C65:H65)</f>
        <v>120.66666666666667</v>
      </c>
      <c r="D19" s="4">
        <f>Uscite!$C19/365</f>
        <v>0.33059360730593607</v>
      </c>
      <c r="E19" s="89">
        <f>Uscite!$C19/Arrivi!$C19</f>
        <v>8.4609091971485334E-2</v>
      </c>
      <c r="G19" s="6" t="s">
        <v>26</v>
      </c>
      <c r="H19" s="2" t="s">
        <v>16</v>
      </c>
      <c r="I19" s="86">
        <f>Dati_OPTN!C65/365</f>
        <v>0.27397260273972601</v>
      </c>
      <c r="J19" s="89">
        <f>I19/Arrivi!H19</f>
        <v>6.2814070351758788E-2</v>
      </c>
      <c r="K19" s="8"/>
      <c r="L19" s="6" t="s">
        <v>26</v>
      </c>
      <c r="M19" s="56" t="s">
        <v>16</v>
      </c>
      <c r="N19" s="74">
        <f>AVERAGE(Dati_OPTN!C65:L65)</f>
        <v>129.6</v>
      </c>
      <c r="O19" s="4">
        <f t="shared" si="0"/>
        <v>0.35506849315068489</v>
      </c>
      <c r="P19" s="89">
        <f>N19/Arrivi!$C19</f>
        <v>9.0872969498656059E-2</v>
      </c>
    </row>
    <row r="20" spans="1:16" x14ac:dyDescent="0.25">
      <c r="A20" s="6"/>
      <c r="B20" s="56" t="s">
        <v>18</v>
      </c>
      <c r="C20" s="4">
        <f>AVERAGE(Dati_OPTN!C66:H66)</f>
        <v>0</v>
      </c>
      <c r="D20" s="4">
        <f>Uscite!$C20/365</f>
        <v>0</v>
      </c>
      <c r="E20" s="89">
        <f>Uscite!$C20/Arrivi!$C20</f>
        <v>0</v>
      </c>
      <c r="G20" s="6"/>
      <c r="H20" s="2" t="s">
        <v>18</v>
      </c>
      <c r="I20" s="86">
        <f>Dati_OPTN!C66/365</f>
        <v>0</v>
      </c>
      <c r="J20" s="89">
        <f>I20/Arrivi!H20</f>
        <v>0</v>
      </c>
      <c r="K20" s="8"/>
      <c r="L20" s="6"/>
      <c r="M20" s="56" t="s">
        <v>18</v>
      </c>
      <c r="N20" s="74">
        <f>AVERAGE(Dati_OPTN!C66:L66)</f>
        <v>0.1</v>
      </c>
      <c r="O20" s="4">
        <f t="shared" si="0"/>
        <v>2.7397260273972606E-4</v>
      </c>
      <c r="P20" s="89">
        <f>N20/Arrivi!$C20</f>
        <v>0.06</v>
      </c>
    </row>
    <row r="21" spans="1:16" x14ac:dyDescent="0.25">
      <c r="A21" s="6"/>
      <c r="B21" s="56" t="s">
        <v>20</v>
      </c>
      <c r="C21" s="4">
        <f>AVERAGE(Dati_OPTN!C67:H67)</f>
        <v>38.5</v>
      </c>
      <c r="D21" s="4">
        <f>Uscite!$C21/365</f>
        <v>0.10547945205479452</v>
      </c>
      <c r="E21" s="89">
        <f>Uscite!$C21/Arrivi!$C21</f>
        <v>3.6579572446555818E-2</v>
      </c>
      <c r="G21" s="6"/>
      <c r="H21" s="2" t="s">
        <v>20</v>
      </c>
      <c r="I21" s="86">
        <f>Dati_OPTN!C67/365</f>
        <v>9.3150684931506855E-2</v>
      </c>
      <c r="J21" s="89">
        <f>I21/Arrivi!H21</f>
        <v>2.931034482758621E-2</v>
      </c>
      <c r="K21" s="8"/>
      <c r="L21" s="6"/>
      <c r="M21" s="56" t="s">
        <v>20</v>
      </c>
      <c r="N21" s="74">
        <f>AVERAGE(Dati_OPTN!C67:L67)</f>
        <v>42.9</v>
      </c>
      <c r="O21" s="4">
        <f t="shared" si="0"/>
        <v>0.11753424657534246</v>
      </c>
      <c r="P21" s="89">
        <f>N21/Arrivi!$C21</f>
        <v>4.0760095011876482E-2</v>
      </c>
    </row>
    <row r="22" spans="1:16" x14ac:dyDescent="0.25">
      <c r="A22" s="55"/>
      <c r="B22" s="57" t="s">
        <v>22</v>
      </c>
      <c r="C22" s="70">
        <f>AVERAGE(Dati_OPTN!C68:H68)</f>
        <v>82.166666666666671</v>
      </c>
      <c r="D22" s="70">
        <f>Uscite!$C22/365</f>
        <v>0.22511415525114156</v>
      </c>
      <c r="E22" s="78">
        <f>Uscite!$C22/Arrivi!$C22</f>
        <v>0.22087813620071686</v>
      </c>
      <c r="G22" s="55"/>
      <c r="H22" s="85" t="s">
        <v>22</v>
      </c>
      <c r="I22" s="87">
        <f>Dati_OPTN!C68/365</f>
        <v>0.18082191780821918</v>
      </c>
      <c r="J22" s="78">
        <f>I22/Arrivi!H22</f>
        <v>0.15348837209302327</v>
      </c>
      <c r="K22" s="8"/>
      <c r="L22" s="55"/>
      <c r="M22" s="57" t="s">
        <v>22</v>
      </c>
      <c r="N22" s="75">
        <f>AVERAGE(Dati_OPTN!C68:L68)</f>
        <v>86.6</v>
      </c>
      <c r="O22" s="70">
        <f t="shared" si="0"/>
        <v>0.23726027397260271</v>
      </c>
      <c r="P22" s="78">
        <f>N22/Arrivi!$C22</f>
        <v>0.23279569892473118</v>
      </c>
    </row>
    <row r="23" spans="1:16" x14ac:dyDescent="0.25">
      <c r="A23" s="2"/>
      <c r="B23" s="2"/>
      <c r="C23" s="7"/>
      <c r="D23" s="7"/>
      <c r="E23" s="7"/>
      <c r="G23" s="2"/>
      <c r="H23" s="2"/>
      <c r="I23" s="7"/>
      <c r="J23" s="7"/>
      <c r="K23" s="8"/>
      <c r="L23" s="8"/>
      <c r="M23" s="8"/>
      <c r="N23" s="8"/>
      <c r="O23" s="8"/>
    </row>
    <row r="24" spans="1:16" x14ac:dyDescent="0.25">
      <c r="A24" s="114" t="s">
        <v>201</v>
      </c>
      <c r="B24" s="114"/>
      <c r="C24" s="114"/>
      <c r="D24" s="114"/>
      <c r="E24" s="117"/>
      <c r="G24" s="114" t="s">
        <v>45</v>
      </c>
      <c r="H24" s="118"/>
      <c r="I24" s="118"/>
      <c r="J24" s="119"/>
      <c r="L24" s="114" t="s">
        <v>211</v>
      </c>
      <c r="M24" s="114"/>
      <c r="N24" s="114"/>
      <c r="O24" s="114"/>
      <c r="P24" s="117"/>
    </row>
    <row r="25" spans="1:16" x14ac:dyDescent="0.25">
      <c r="A25" s="63" t="s">
        <v>2</v>
      </c>
      <c r="B25" s="68" t="s">
        <v>3</v>
      </c>
      <c r="C25" s="69" t="s">
        <v>203</v>
      </c>
      <c r="D25" s="69" t="s">
        <v>204</v>
      </c>
      <c r="E25" s="68" t="s">
        <v>43</v>
      </c>
      <c r="G25" s="63" t="s">
        <v>2</v>
      </c>
      <c r="H25" s="68" t="s">
        <v>3</v>
      </c>
      <c r="I25" s="68" t="s">
        <v>44</v>
      </c>
      <c r="J25" s="88" t="s">
        <v>43</v>
      </c>
      <c r="L25" s="63" t="s">
        <v>2</v>
      </c>
      <c r="M25" s="68" t="s">
        <v>3</v>
      </c>
      <c r="N25" s="69" t="s">
        <v>203</v>
      </c>
      <c r="O25" s="69" t="s">
        <v>204</v>
      </c>
      <c r="P25" s="68" t="s">
        <v>43</v>
      </c>
    </row>
    <row r="26" spans="1:16" x14ac:dyDescent="0.25">
      <c r="A26" s="6" t="s">
        <v>15</v>
      </c>
      <c r="B26" s="56" t="s">
        <v>16</v>
      </c>
      <c r="C26" s="4">
        <f>IF(AVERAGE(Dati_OPTN!P72:U72) &gt; Arrivi!C3, Arrivi!C3, AVERAGE(Dati_OPTN!P72:U72))</f>
        <v>12187.833333333334</v>
      </c>
      <c r="D26" s="4">
        <f>Uscite!$C26/365</f>
        <v>33.391324200913246</v>
      </c>
      <c r="E26" s="61">
        <f>Uscite!$C26/Arrivi!C3</f>
        <v>0.32572983759610163</v>
      </c>
      <c r="G26" s="6" t="s">
        <v>15</v>
      </c>
      <c r="H26" s="56" t="s">
        <v>16</v>
      </c>
      <c r="I26" s="61">
        <f>Dati_OPTN!P72/365</f>
        <v>33.232876712328768</v>
      </c>
      <c r="J26" s="89">
        <f>I26/Arrivi!H3</f>
        <v>0.29193742478941032</v>
      </c>
      <c r="L26" s="6" t="s">
        <v>15</v>
      </c>
      <c r="M26" s="56" t="s">
        <v>16</v>
      </c>
      <c r="N26" s="72">
        <f>IF(AVERAGE(Dati_OPTN!P72:Y72) &gt; Arrivi!C3, Arrivi!C3, AVERAGE(Dati_OPTN!P72:Y72))</f>
        <v>10845.9</v>
      </c>
      <c r="O26" s="90">
        <f>N26/365</f>
        <v>29.714794520547944</v>
      </c>
      <c r="P26" s="73">
        <f>N26/Arrivi!C3</f>
        <v>0.28986556912633293</v>
      </c>
    </row>
    <row r="27" spans="1:16" x14ac:dyDescent="0.25">
      <c r="A27" s="6"/>
      <c r="B27" s="56" t="s">
        <v>18</v>
      </c>
      <c r="C27" s="4">
        <f>IF(AVERAGE(Dati_OPTN!P73:U73) &gt; Arrivi!C4, Arrivi!C4, AVERAGE(Dati_OPTN!P73:U73))</f>
        <v>3.3333333333333335</v>
      </c>
      <c r="D27" s="4">
        <f>Uscite!$C27/365</f>
        <v>9.1324200913242021E-3</v>
      </c>
      <c r="E27" s="61">
        <f>Uscite!$C27/Arrivi!C4</f>
        <v>8.9285714285714288E-2</v>
      </c>
      <c r="G27" s="6"/>
      <c r="H27" s="56" t="s">
        <v>18</v>
      </c>
      <c r="I27" s="61">
        <f>Dati_OPTN!P73/365</f>
        <v>5.4794520547945206E-3</v>
      </c>
      <c r="J27" s="89">
        <f>I27/Arrivi!H4</f>
        <v>4.878048780487805E-2</v>
      </c>
      <c r="L27" s="6"/>
      <c r="M27" s="56" t="s">
        <v>18</v>
      </c>
      <c r="N27" s="74">
        <f>IF(AVERAGE(Dati_OPTN!P73:Y73) &gt; Arrivi!C4, Arrivi!C4, AVERAGE(Dati_OPTN!P73:Y73))</f>
        <v>4.4000000000000004</v>
      </c>
      <c r="O27" s="4">
        <f t="shared" ref="O27:O45" si="1">N27/365</f>
        <v>1.2054794520547946E-2</v>
      </c>
      <c r="P27" s="61">
        <f>N27/Arrivi!C4</f>
        <v>0.11785714285714285</v>
      </c>
    </row>
    <row r="28" spans="1:16" x14ac:dyDescent="0.25">
      <c r="A28" s="6"/>
      <c r="B28" s="56" t="s">
        <v>20</v>
      </c>
      <c r="C28" s="4">
        <f>IF(AVERAGE(Dati_OPTN!P74:U74) &gt; Arrivi!C5, Arrivi!C5, AVERAGE(Dati_OPTN!P74:U74))</f>
        <v>2905.8333333333335</v>
      </c>
      <c r="D28" s="4">
        <f>Uscite!$C28/365</f>
        <v>7.961187214611873</v>
      </c>
      <c r="E28" s="61">
        <f>Uscite!$C28/Arrivi!C5</f>
        <v>0.10368101807802094</v>
      </c>
      <c r="G28" s="6"/>
      <c r="H28" s="56" t="s">
        <v>20</v>
      </c>
      <c r="I28" s="61">
        <f>Dati_OPTN!P74/365</f>
        <v>8.1999999999999993</v>
      </c>
      <c r="J28" s="89">
        <f>I28/Arrivi!H5</f>
        <v>9.6043384783236527E-2</v>
      </c>
      <c r="L28" s="6"/>
      <c r="M28" s="56" t="s">
        <v>20</v>
      </c>
      <c r="N28" s="74">
        <f>IF(AVERAGE(Dati_OPTN!P74:Y74) &gt; Arrivi!C5, Arrivi!C5, AVERAGE(Dati_OPTN!P74:Y74))</f>
        <v>2764.8</v>
      </c>
      <c r="O28" s="4">
        <f t="shared" si="1"/>
        <v>7.5747945205479459</v>
      </c>
      <c r="P28" s="61">
        <f>N28/Arrivi!C5</f>
        <v>9.8648905803996198E-2</v>
      </c>
    </row>
    <row r="29" spans="1:16" x14ac:dyDescent="0.25">
      <c r="A29" s="6"/>
      <c r="B29" s="56" t="s">
        <v>22</v>
      </c>
      <c r="C29" s="4">
        <f>IF(AVERAGE(Dati_OPTN!P75:U75) &gt; Arrivi!C6, Arrivi!C6, AVERAGE(Dati_OPTN!P75:U75))</f>
        <v>9278.6666666666661</v>
      </c>
      <c r="D29" s="4">
        <f>Uscite!$C29/365</f>
        <v>25.421004566210044</v>
      </c>
      <c r="E29" s="61">
        <f>Uscite!$C29/Arrivi!C6</f>
        <v>0.99205246088599019</v>
      </c>
      <c r="G29" s="6"/>
      <c r="H29" s="56" t="s">
        <v>22</v>
      </c>
      <c r="I29" s="61">
        <f>Dati_OPTN!P75/365</f>
        <v>25.027397260273972</v>
      </c>
      <c r="J29" s="89">
        <f>I29/Arrivi!H6</f>
        <v>0.88294993234100128</v>
      </c>
      <c r="L29" s="6"/>
      <c r="M29" s="56" t="s">
        <v>22</v>
      </c>
      <c r="N29" s="74">
        <f>IF(AVERAGE(Dati_OPTN!P75:Y75) &gt; Arrivi!C6, Arrivi!C6, AVERAGE(Dati_OPTN!P75:Y75))</f>
        <v>8076.7</v>
      </c>
      <c r="O29" s="4">
        <f t="shared" si="1"/>
        <v>22.127945205479453</v>
      </c>
      <c r="P29" s="61">
        <f>N29/Arrivi!C6</f>
        <v>0.86354110980434085</v>
      </c>
    </row>
    <row r="30" spans="1:16" x14ac:dyDescent="0.25">
      <c r="A30" s="6" t="s">
        <v>23</v>
      </c>
      <c r="B30" s="56" t="s">
        <v>16</v>
      </c>
      <c r="C30" s="4">
        <f>IF(AVERAGE(Dati_OPTN!P76:U76) &gt; Arrivi!C7, Arrivi!C7, AVERAGE(Dati_OPTN!P76:U76))</f>
        <v>6284.666666666667</v>
      </c>
      <c r="D30" s="4">
        <f>Uscite!$C30/365</f>
        <v>17.218264840182648</v>
      </c>
      <c r="E30" s="61">
        <f>Uscite!$C30/Arrivi!C7</f>
        <v>0.34440303960251356</v>
      </c>
      <c r="G30" s="6" t="s">
        <v>23</v>
      </c>
      <c r="H30" s="56" t="s">
        <v>16</v>
      </c>
      <c r="I30" s="61">
        <f>Dati_OPTN!P76/365</f>
        <v>17.260273972602739</v>
      </c>
      <c r="J30" s="89">
        <f>I30/Arrivi!H7</f>
        <v>0.30959752321981426</v>
      </c>
      <c r="L30" s="6" t="s">
        <v>23</v>
      </c>
      <c r="M30" s="56" t="s">
        <v>16</v>
      </c>
      <c r="N30" s="74">
        <f>IF(AVERAGE(Dati_OPTN!P76:Y76) &gt; Arrivi!C7, Arrivi!C7, AVERAGE(Dati_OPTN!P76:Y76))</f>
        <v>5564.1</v>
      </c>
      <c r="O30" s="4">
        <f t="shared" si="1"/>
        <v>15.244109589041097</v>
      </c>
      <c r="P30" s="61">
        <f>N30/Arrivi!C7</f>
        <v>0.30491560718982902</v>
      </c>
    </row>
    <row r="31" spans="1:16" x14ac:dyDescent="0.25">
      <c r="A31" s="6"/>
      <c r="B31" s="56" t="s">
        <v>18</v>
      </c>
      <c r="C31" s="4">
        <f>IF(AVERAGE(Dati_OPTN!P77:U77) &gt; Arrivi!C8, Arrivi!C8, AVERAGE(Dati_OPTN!P77:U77))</f>
        <v>2.3333333333333335</v>
      </c>
      <c r="D31" s="4">
        <f>Uscite!$C31/365</f>
        <v>6.392694063926941E-3</v>
      </c>
      <c r="E31" s="71">
        <f>Uscite!$C31/Arrivi!C8</f>
        <v>0.12280701754385966</v>
      </c>
      <c r="G31" s="6"/>
      <c r="H31" s="56" t="s">
        <v>18</v>
      </c>
      <c r="I31" s="61">
        <f>Dati_OPTN!P77/365</f>
        <v>0</v>
      </c>
      <c r="J31" s="89">
        <f>I31/Arrivi!H8</f>
        <v>0</v>
      </c>
      <c r="L31" s="6"/>
      <c r="M31" s="56" t="s">
        <v>18</v>
      </c>
      <c r="N31" s="74">
        <f>IF(AVERAGE(Dati_OPTN!P77:Y77) &gt; Arrivi!C8, Arrivi!C8, AVERAGE(Dati_OPTN!P77:Y77))</f>
        <v>2.5</v>
      </c>
      <c r="O31" s="4">
        <f t="shared" si="1"/>
        <v>6.8493150684931503E-3</v>
      </c>
      <c r="P31" s="61">
        <f>N31/Arrivi!C8</f>
        <v>0.13157894736842105</v>
      </c>
    </row>
    <row r="32" spans="1:16" x14ac:dyDescent="0.25">
      <c r="A32" s="6"/>
      <c r="B32" s="56" t="s">
        <v>20</v>
      </c>
      <c r="C32" s="4">
        <f>IF(AVERAGE(Dati_OPTN!P78:U78) &gt; Arrivi!C9, Arrivi!C9, AVERAGE(Dati_OPTN!P78:U78))</f>
        <v>1521.5</v>
      </c>
      <c r="D32" s="4">
        <f>Uscite!$C32/365</f>
        <v>4.1684931506849319</v>
      </c>
      <c r="E32" s="71">
        <f>Uscite!$C32/Arrivi!C9</f>
        <v>0.11054868671211809</v>
      </c>
      <c r="G32" s="6"/>
      <c r="H32" s="56" t="s">
        <v>20</v>
      </c>
      <c r="I32" s="61">
        <f>Dati_OPTN!P78/365</f>
        <v>4.2849315068493148</v>
      </c>
      <c r="J32" s="89">
        <f>I32/Arrivi!H9</f>
        <v>0.10160462547911389</v>
      </c>
      <c r="L32" s="6"/>
      <c r="M32" s="56" t="s">
        <v>20</v>
      </c>
      <c r="N32" s="74">
        <f>IF(AVERAGE(Dati_OPTN!P78:Y78) &gt; Arrivi!C9, Arrivi!C9, AVERAGE(Dati_OPTN!P78:Y78))</f>
        <v>1439.5</v>
      </c>
      <c r="O32" s="4">
        <f t="shared" si="1"/>
        <v>3.9438356164383563</v>
      </c>
      <c r="P32" s="61">
        <f>N32/Arrivi!C9</f>
        <v>0.10459075551895761</v>
      </c>
    </row>
    <row r="33" spans="1:17" x14ac:dyDescent="0.25">
      <c r="A33" s="6"/>
      <c r="B33" s="56" t="s">
        <v>22</v>
      </c>
      <c r="C33" s="4">
        <f>IF(AVERAGE(Dati_OPTN!P79:U79) &gt; Arrivi!C10, Arrivi!C10, AVERAGE(Dati_OPTN!P79:U79))</f>
        <v>4465.833333333333</v>
      </c>
      <c r="D33" s="4">
        <f>Uscite!$C33/365</f>
        <v>12.235159817351597</v>
      </c>
      <c r="E33" s="71">
        <f>Uscite!$C33/Arrivi!C10</f>
        <v>1</v>
      </c>
      <c r="G33" s="6"/>
      <c r="H33" s="56" t="s">
        <v>22</v>
      </c>
      <c r="I33" s="61">
        <f>Dati_OPTN!P79/365</f>
        <v>12.975342465753425</v>
      </c>
      <c r="J33" s="89">
        <f>I33/Arrivi!H10</f>
        <v>0.95928701640672476</v>
      </c>
      <c r="L33" s="6"/>
      <c r="M33" s="56" t="s">
        <v>22</v>
      </c>
      <c r="N33" s="74">
        <f>IF(AVERAGE(Dati_OPTN!P79:Y79) &gt; Arrivi!C10, Arrivi!C10, AVERAGE(Dati_OPTN!P79:Y79))</f>
        <v>4122.1000000000004</v>
      </c>
      <c r="O33" s="4">
        <f t="shared" si="1"/>
        <v>11.293424657534247</v>
      </c>
      <c r="P33" s="61">
        <f>N33/Arrivi!C10</f>
        <v>0.92303041612241099</v>
      </c>
    </row>
    <row r="34" spans="1:17" x14ac:dyDescent="0.25">
      <c r="A34" s="6" t="s">
        <v>24</v>
      </c>
      <c r="B34" s="56" t="s">
        <v>16</v>
      </c>
      <c r="C34" s="4">
        <f>IF(AVERAGE(Dati_OPTN!P80:U80) &gt; Arrivi!C11, Arrivi!C11, AVERAGE(Dati_OPTN!P80:U80))</f>
        <v>3636.3333333333335</v>
      </c>
      <c r="D34" s="4">
        <f>Uscite!$C34/365</f>
        <v>9.9625570776255721</v>
      </c>
      <c r="E34" s="71">
        <f>Uscite!$C34/Arrivi!C11</f>
        <v>0.29862308724097342</v>
      </c>
      <c r="G34" s="6" t="s">
        <v>24</v>
      </c>
      <c r="H34" s="56" t="s">
        <v>16</v>
      </c>
      <c r="I34" s="61">
        <f>Dati_OPTN!P80/365</f>
        <v>9.6876712328767116</v>
      </c>
      <c r="J34" s="89">
        <f>I34/Arrivi!H11</f>
        <v>0.26274334968048746</v>
      </c>
      <c r="L34" s="6" t="s">
        <v>24</v>
      </c>
      <c r="M34" s="56" t="s">
        <v>16</v>
      </c>
      <c r="N34" s="74">
        <f>IF(AVERAGE(Dati_OPTN!P80:Y80) &gt; Arrivi!C11, Arrivi!C11, AVERAGE(Dati_OPTN!P80:Y80))</f>
        <v>3261.2</v>
      </c>
      <c r="O34" s="4">
        <f t="shared" si="1"/>
        <v>8.9347945205479444</v>
      </c>
      <c r="P34" s="61">
        <f>N34/Arrivi!C11</f>
        <v>0.2678163751334483</v>
      </c>
    </row>
    <row r="35" spans="1:17" x14ac:dyDescent="0.25">
      <c r="A35" s="6"/>
      <c r="B35" s="56" t="s">
        <v>18</v>
      </c>
      <c r="C35" s="4">
        <f>IF(AVERAGE(Dati_OPTN!P81:U81) &gt; Arrivi!C12, Arrivi!C12, AVERAGE(Dati_OPTN!P81:U81))</f>
        <v>0.5</v>
      </c>
      <c r="D35" s="4">
        <f>Uscite!$C35/365</f>
        <v>1.3698630136986301E-3</v>
      </c>
      <c r="E35" s="71">
        <f>Uscite!$C35/Arrivi!C12</f>
        <v>4.6875E-2</v>
      </c>
      <c r="G35" s="6"/>
      <c r="H35" s="56" t="s">
        <v>18</v>
      </c>
      <c r="I35" s="61">
        <f>Dati_OPTN!P81/365</f>
        <v>5.4794520547945206E-3</v>
      </c>
      <c r="J35" s="89">
        <f>I35/Arrivi!H12</f>
        <v>0.2</v>
      </c>
      <c r="L35" s="6"/>
      <c r="M35" s="56" t="s">
        <v>18</v>
      </c>
      <c r="N35" s="74">
        <f>IF(AVERAGE(Dati_OPTN!P81:Y81) &gt; Arrivi!C12, Arrivi!C12, AVERAGE(Dati_OPTN!P81:Y81))</f>
        <v>1.2</v>
      </c>
      <c r="O35" s="4">
        <f t="shared" si="1"/>
        <v>3.2876712328767121E-3</v>
      </c>
      <c r="P35" s="61">
        <f>N35/Arrivi!C12</f>
        <v>0.1125</v>
      </c>
    </row>
    <row r="36" spans="1:17" x14ac:dyDescent="0.25">
      <c r="A36" s="6"/>
      <c r="B36" s="56" t="s">
        <v>20</v>
      </c>
      <c r="C36" s="4">
        <f>IF(AVERAGE(Dati_OPTN!P82:U82) &gt; Arrivi!C13, Arrivi!C13, AVERAGE(Dati_OPTN!P82:U82))</f>
        <v>853.33333333333337</v>
      </c>
      <c r="D36" s="4">
        <f>Uscite!$C36/365</f>
        <v>2.3378995433789957</v>
      </c>
      <c r="E36" s="71">
        <f>Uscite!$C36/Arrivi!C13</f>
        <v>9.4700823083325628E-2</v>
      </c>
      <c r="G36" s="6"/>
      <c r="H36" s="56" t="s">
        <v>20</v>
      </c>
      <c r="I36" s="61">
        <f>Dati_OPTN!P82/365</f>
        <v>2.3671232876712329</v>
      </c>
      <c r="J36" s="89">
        <f>I36/Arrivi!H13</f>
        <v>8.7114337568058073E-2</v>
      </c>
      <c r="L36" s="6"/>
      <c r="M36" s="56" t="s">
        <v>20</v>
      </c>
      <c r="N36" s="74">
        <f>IF(AVERAGE(Dati_OPTN!P82:Y82) &gt; Arrivi!C13, Arrivi!C13, AVERAGE(Dati_OPTN!P82:Y82))</f>
        <v>818.7</v>
      </c>
      <c r="O36" s="4">
        <f t="shared" si="1"/>
        <v>2.2430136986301372</v>
      </c>
      <c r="P36" s="61">
        <f>N36/Arrivi!C13</f>
        <v>9.0857301396467208E-2</v>
      </c>
    </row>
    <row r="37" spans="1:17" x14ac:dyDescent="0.25">
      <c r="A37" s="6"/>
      <c r="B37" s="56" t="s">
        <v>22</v>
      </c>
      <c r="C37" s="4">
        <f>IF(AVERAGE(Dati_OPTN!P83:U83) &gt; Arrivi!C14, Arrivi!C14, AVERAGE(Dati_OPTN!P83:U83))</f>
        <v>2782.5</v>
      </c>
      <c r="D37" s="4">
        <f>Uscite!$C37/365</f>
        <v>7.6232876712328768</v>
      </c>
      <c r="E37" s="71">
        <f>Uscite!$C37/Arrivi!C14</f>
        <v>0.88179369355094284</v>
      </c>
      <c r="G37" s="6"/>
      <c r="H37" s="56" t="s">
        <v>22</v>
      </c>
      <c r="I37" s="61">
        <f>Dati_OPTN!P83/365</f>
        <v>7.3150684931506849</v>
      </c>
      <c r="J37" s="89">
        <f>I37/Arrivi!H14</f>
        <v>0.75637393767705374</v>
      </c>
      <c r="L37" s="6"/>
      <c r="M37" s="56" t="s">
        <v>22</v>
      </c>
      <c r="N37" s="74">
        <f>IF(AVERAGE(Dati_OPTN!P83:Y83) &gt; Arrivi!C14, Arrivi!C14, AVERAGE(Dati_OPTN!P83:Y83))</f>
        <v>2441.3000000000002</v>
      </c>
      <c r="O37" s="4">
        <f t="shared" si="1"/>
        <v>6.6884931506849323</v>
      </c>
      <c r="P37" s="61">
        <f>N37/Arrivi!C14</f>
        <v>0.77366502931389647</v>
      </c>
    </row>
    <row r="38" spans="1:17" x14ac:dyDescent="0.25">
      <c r="A38" s="6" t="s">
        <v>25</v>
      </c>
      <c r="B38" s="56" t="s">
        <v>16</v>
      </c>
      <c r="C38" s="4">
        <f>IF(AVERAGE(Dati_OPTN!P84:U84) &gt; Arrivi!C15, Arrivi!C15, AVERAGE(Dati_OPTN!P84:U84))</f>
        <v>1913.6666666666667</v>
      </c>
      <c r="D38" s="4">
        <f>Uscite!$C38/365</f>
        <v>5.2429223744292237</v>
      </c>
      <c r="E38" s="71">
        <f>Uscite!$C38/Arrivi!C15</f>
        <v>0.34382392573738585</v>
      </c>
      <c r="G38" s="6" t="s">
        <v>25</v>
      </c>
      <c r="H38" s="56" t="s">
        <v>16</v>
      </c>
      <c r="I38" s="61">
        <f>Dati_OPTN!P84/365</f>
        <v>5.4136986301369863</v>
      </c>
      <c r="J38" s="89">
        <f>I38/Arrivi!H15</f>
        <v>0.32124857746707852</v>
      </c>
      <c r="L38" s="6" t="s">
        <v>25</v>
      </c>
      <c r="M38" s="56" t="s">
        <v>16</v>
      </c>
      <c r="N38" s="74">
        <f>IF(AVERAGE(Dati_OPTN!P84:Y84) &gt; Arrivi!C15, Arrivi!C15, AVERAGE(Dati_OPTN!P84:Y84))</f>
        <v>1702.6</v>
      </c>
      <c r="O38" s="4">
        <f t="shared" si="1"/>
        <v>4.664657534246575</v>
      </c>
      <c r="P38" s="61">
        <f>N38/Arrivi!C15</f>
        <v>0.30590208114987272</v>
      </c>
    </row>
    <row r="39" spans="1:17" x14ac:dyDescent="0.25">
      <c r="A39" s="6"/>
      <c r="B39" s="56" t="s">
        <v>18</v>
      </c>
      <c r="C39" s="4">
        <f>IF(AVERAGE(Dati_OPTN!P85:U85) &gt; Arrivi!C16, Arrivi!C16, AVERAGE(Dati_OPTN!P85:U85))</f>
        <v>0</v>
      </c>
      <c r="D39" s="4">
        <f>Uscite!$C39/365</f>
        <v>0</v>
      </c>
      <c r="E39" s="71">
        <f>Uscite!$C39/Arrivi!C16</f>
        <v>0</v>
      </c>
      <c r="G39" s="6"/>
      <c r="H39" s="56" t="s">
        <v>18</v>
      </c>
      <c r="I39" s="61">
        <f>Dati_OPTN!P85/365</f>
        <v>0</v>
      </c>
      <c r="J39" s="89">
        <f>I39/Arrivi!H16</f>
        <v>0</v>
      </c>
      <c r="L39" s="6"/>
      <c r="M39" s="56" t="s">
        <v>18</v>
      </c>
      <c r="N39" s="74">
        <f>IF(AVERAGE(Dati_OPTN!P85:Y85) &gt; Arrivi!C16, Arrivi!C16, AVERAGE(Dati_OPTN!P85:Y85))</f>
        <v>0.4</v>
      </c>
      <c r="O39" s="4">
        <f t="shared" si="1"/>
        <v>1.0958904109589042E-3</v>
      </c>
      <c r="P39" s="61">
        <f>N39/Arrivi!C16</f>
        <v>6.6666666666666666E-2</v>
      </c>
    </row>
    <row r="40" spans="1:17" x14ac:dyDescent="0.25">
      <c r="A40" s="6"/>
      <c r="B40" s="56" t="s">
        <v>20</v>
      </c>
      <c r="C40" s="4">
        <f>IF(AVERAGE(Dati_OPTN!P86:U86) &gt; Arrivi!C17, Arrivi!C17, AVERAGE(Dati_OPTN!P86:U86))</f>
        <v>454</v>
      </c>
      <c r="D40" s="4">
        <f>Uscite!$C40/365</f>
        <v>1.2438356164383562</v>
      </c>
      <c r="E40" s="71">
        <f>Uscite!$C40/Arrivi!C17</f>
        <v>0.10809094877187413</v>
      </c>
      <c r="G40" s="6"/>
      <c r="H40" s="56" t="s">
        <v>20</v>
      </c>
      <c r="I40" s="61">
        <f>Dati_OPTN!P86/365</f>
        <v>1.3095890410958904</v>
      </c>
      <c r="J40" s="89">
        <f>I40/Arrivi!H17</f>
        <v>0.10187553282182439</v>
      </c>
      <c r="L40" s="6"/>
      <c r="M40" s="56" t="s">
        <v>20</v>
      </c>
      <c r="N40" s="74">
        <f>IF(AVERAGE(Dati_OPTN!P86:Y86) &gt; Arrivi!C17, Arrivi!C17, AVERAGE(Dati_OPTN!P86:Y86))</f>
        <v>430.7</v>
      </c>
      <c r="O40" s="4">
        <f t="shared" si="1"/>
        <v>1.18</v>
      </c>
      <c r="P40" s="61">
        <f>N40/Arrivi!C17</f>
        <v>0.10254354985913257</v>
      </c>
    </row>
    <row r="41" spans="1:17" x14ac:dyDescent="0.25">
      <c r="A41" s="6"/>
      <c r="B41" s="56" t="s">
        <v>22</v>
      </c>
      <c r="C41" s="4">
        <f>IF(AVERAGE(Dati_OPTN!P87:U87) &gt; Arrivi!C18, Arrivi!C18, AVERAGE(Dati_OPTN!P87:U87))</f>
        <v>1359.6666666666667</v>
      </c>
      <c r="D41" s="4">
        <f>Uscite!$C41/365</f>
        <v>3.7251141552511418</v>
      </c>
      <c r="E41" s="71">
        <f>Uscite!$C41/Arrivi!C18</f>
        <v>1</v>
      </c>
      <c r="G41" s="6"/>
      <c r="H41" s="56" t="s">
        <v>22</v>
      </c>
      <c r="I41" s="61">
        <f>Dati_OPTN!P87/365</f>
        <v>4.1041095890410961</v>
      </c>
      <c r="J41" s="89">
        <f>I41/Arrivi!H18</f>
        <v>1.0338164251207731</v>
      </c>
      <c r="L41" s="6"/>
      <c r="M41" s="56" t="s">
        <v>22</v>
      </c>
      <c r="N41" s="74">
        <f>IF(AVERAGE(Dati_OPTN!P87:Y87) &gt; Arrivi!C18, Arrivi!C18, AVERAGE(Dati_OPTN!P87:Y87))</f>
        <v>1271.5</v>
      </c>
      <c r="O41" s="4">
        <f t="shared" si="1"/>
        <v>3.4835616438356163</v>
      </c>
      <c r="P41" s="61">
        <f>N41/Arrivi!C18</f>
        <v>0.93515567541063982</v>
      </c>
    </row>
    <row r="42" spans="1:17" x14ac:dyDescent="0.25">
      <c r="A42" s="6" t="s">
        <v>26</v>
      </c>
      <c r="B42" s="56" t="s">
        <v>16</v>
      </c>
      <c r="C42" s="4">
        <f>IF(AVERAGE(Dati_OPTN!P88:U88) &gt; Arrivi!C19, Arrivi!C19, AVERAGE(Dati_OPTN!P88:U88))</f>
        <v>353.33333333333331</v>
      </c>
      <c r="D42" s="4">
        <f>Uscite!$C42/365</f>
        <v>0.96803652968036524</v>
      </c>
      <c r="E42" s="71">
        <f>Uscite!$C42/Arrivi!C19</f>
        <v>0.24775037980600675</v>
      </c>
      <c r="G42" s="6" t="s">
        <v>26</v>
      </c>
      <c r="H42" s="56" t="s">
        <v>16</v>
      </c>
      <c r="I42" s="61">
        <f>Dati_OPTN!P88/365</f>
        <v>0.87123287671232874</v>
      </c>
      <c r="J42" s="89">
        <f>I42/Arrivi!H19</f>
        <v>0.19974874371859297</v>
      </c>
      <c r="L42" s="6" t="s">
        <v>26</v>
      </c>
      <c r="M42" s="56" t="s">
        <v>16</v>
      </c>
      <c r="N42" s="74">
        <f>IF(AVERAGE(Dati_OPTN!P88:Y88) &gt; Arrivi!C19, Arrivi!C19, AVERAGE(Dati_OPTN!P88:Y88))</f>
        <v>318.3</v>
      </c>
      <c r="O42" s="4">
        <f t="shared" si="1"/>
        <v>0.87205479452054802</v>
      </c>
      <c r="P42" s="61">
        <f>N42/Arrivi!C19</f>
        <v>0.22318569592146781</v>
      </c>
    </row>
    <row r="43" spans="1:17" x14ac:dyDescent="0.25">
      <c r="A43" s="6"/>
      <c r="B43" s="56" t="s">
        <v>18</v>
      </c>
      <c r="C43" s="4">
        <f>IF(AVERAGE(Dati_OPTN!P89:U89) &gt; Arrivi!C20, Arrivi!C20, AVERAGE(Dati_OPTN!P89:U89))</f>
        <v>0.5</v>
      </c>
      <c r="D43" s="4">
        <f>Uscite!$C43/365</f>
        <v>1.3698630136986301E-3</v>
      </c>
      <c r="E43" s="61">
        <f>Uscite!$C43/Arrivi!C20</f>
        <v>0.3</v>
      </c>
      <c r="G43" s="6"/>
      <c r="H43" s="56" t="s">
        <v>18</v>
      </c>
      <c r="I43" s="61">
        <f>Dati_OPTN!P89/365</f>
        <v>0</v>
      </c>
      <c r="J43" s="89">
        <f>I43/Arrivi!H20</f>
        <v>0</v>
      </c>
      <c r="L43" s="6"/>
      <c r="M43" s="56" t="s">
        <v>18</v>
      </c>
      <c r="N43" s="74">
        <f>IF(AVERAGE(Dati_OPTN!P89:Y89) &gt; Arrivi!C20, Arrivi!C20, AVERAGE(Dati_OPTN!P89:Y89))</f>
        <v>0.3</v>
      </c>
      <c r="O43" s="4">
        <f t="shared" si="1"/>
        <v>8.2191780821917802E-4</v>
      </c>
      <c r="P43" s="61">
        <f>N43/Arrivi!C20</f>
        <v>0.18</v>
      </c>
    </row>
    <row r="44" spans="1:17" x14ac:dyDescent="0.25">
      <c r="A44" s="6"/>
      <c r="B44" s="56" t="s">
        <v>20</v>
      </c>
      <c r="C44" s="4">
        <f>IF(AVERAGE(Dati_OPTN!P90:U90) &gt; Arrivi!C21, Arrivi!C21, AVERAGE(Dati_OPTN!P90:U90))</f>
        <v>77</v>
      </c>
      <c r="D44" s="4">
        <f>Uscite!$C44/365</f>
        <v>0.21095890410958903</v>
      </c>
      <c r="E44" s="61">
        <f>Uscite!$C44/Arrivi!C21</f>
        <v>7.3159144893111636E-2</v>
      </c>
      <c r="G44" s="6"/>
      <c r="H44" s="56" t="s">
        <v>20</v>
      </c>
      <c r="I44" s="61">
        <f>Dati_OPTN!P90/365</f>
        <v>0.23835616438356164</v>
      </c>
      <c r="J44" s="89">
        <f>I44/Arrivi!H21</f>
        <v>7.4999999999999997E-2</v>
      </c>
      <c r="L44" s="6"/>
      <c r="M44" s="56" t="s">
        <v>20</v>
      </c>
      <c r="N44" s="74">
        <f>IF(AVERAGE(Dati_OPTN!P90:Y90) &gt; Arrivi!C21, Arrivi!C21, AVERAGE(Dati_OPTN!P90:Y90))</f>
        <v>76.099999999999994</v>
      </c>
      <c r="O44" s="4">
        <f t="shared" si="1"/>
        <v>0.20849315068493149</v>
      </c>
      <c r="P44" s="61">
        <f>N44/Arrivi!C21</f>
        <v>7.230403800475059E-2</v>
      </c>
    </row>
    <row r="45" spans="1:17" x14ac:dyDescent="0.25">
      <c r="A45" s="55"/>
      <c r="B45" s="57" t="s">
        <v>22</v>
      </c>
      <c r="C45" s="70">
        <f>IF(AVERAGE(Dati_OPTN!P91:U91) &gt; Arrivi!C22, Arrivi!C22, AVERAGE(Dati_OPTN!P91:U91))</f>
        <v>275.83333333333331</v>
      </c>
      <c r="D45" s="70">
        <f>Uscite!$C45/365</f>
        <v>0.75570776255707761</v>
      </c>
      <c r="E45" s="62">
        <f>Uscite!$C45/Arrivi!C22</f>
        <v>0.74148745519713255</v>
      </c>
      <c r="G45" s="55"/>
      <c r="H45" s="57" t="s">
        <v>22</v>
      </c>
      <c r="I45" s="62">
        <f>Dati_OPTN!P91/365</f>
        <v>0.63287671232876708</v>
      </c>
      <c r="J45" s="78">
        <f>I45/Arrivi!H22</f>
        <v>0.53720930232558128</v>
      </c>
      <c r="L45" s="55"/>
      <c r="M45" s="57" t="s">
        <v>22</v>
      </c>
      <c r="N45" s="75">
        <f>IF(AVERAGE(Dati_OPTN!P91:Y91) &gt; Arrivi!C22, Arrivi!C22, AVERAGE(Dati_OPTN!P91:Y91))</f>
        <v>241.9</v>
      </c>
      <c r="O45" s="70">
        <f t="shared" si="1"/>
        <v>0.66273972602739728</v>
      </c>
      <c r="P45" s="62">
        <f>N45/Arrivi!C22</f>
        <v>0.65026881720430108</v>
      </c>
    </row>
    <row r="46" spans="1:17" x14ac:dyDescent="0.25">
      <c r="A46" s="2"/>
      <c r="B46" s="2"/>
      <c r="C46" s="7"/>
      <c r="D46" s="7"/>
      <c r="E46" s="7"/>
      <c r="G46" s="2"/>
      <c r="H46" s="2"/>
      <c r="I46" s="7"/>
      <c r="J46" s="7"/>
      <c r="L46" s="8"/>
      <c r="M46" s="8"/>
      <c r="N46" s="8"/>
      <c r="O46" s="8"/>
    </row>
    <row r="47" spans="1:17" x14ac:dyDescent="0.25">
      <c r="A47" s="114" t="s">
        <v>202</v>
      </c>
      <c r="B47" s="115"/>
      <c r="C47" s="115"/>
      <c r="D47" s="115"/>
      <c r="E47" s="116"/>
      <c r="F47" s="7"/>
      <c r="G47" s="114" t="s">
        <v>212</v>
      </c>
      <c r="H47" s="115"/>
      <c r="I47" s="115"/>
      <c r="J47" s="116"/>
      <c r="L47" s="114" t="s">
        <v>202</v>
      </c>
      <c r="M47" s="115"/>
      <c r="N47" s="115"/>
      <c r="O47" s="115"/>
      <c r="P47" s="116"/>
      <c r="Q47" s="8"/>
    </row>
    <row r="48" spans="1:17" x14ac:dyDescent="0.25">
      <c r="A48" s="63" t="s">
        <v>2</v>
      </c>
      <c r="B48" s="68" t="s">
        <v>3</v>
      </c>
      <c r="C48" s="69" t="s">
        <v>205</v>
      </c>
      <c r="D48" s="69" t="s">
        <v>206</v>
      </c>
      <c r="E48" s="68" t="s">
        <v>43</v>
      </c>
      <c r="F48" s="7"/>
      <c r="G48" s="63" t="s">
        <v>2</v>
      </c>
      <c r="H48" s="68" t="s">
        <v>3</v>
      </c>
      <c r="I48" s="69" t="s">
        <v>206</v>
      </c>
      <c r="J48" s="68" t="s">
        <v>43</v>
      </c>
      <c r="L48" s="63" t="s">
        <v>2</v>
      </c>
      <c r="M48" s="68" t="s">
        <v>3</v>
      </c>
      <c r="N48" s="69" t="s">
        <v>205</v>
      </c>
      <c r="O48" s="69" t="s">
        <v>206</v>
      </c>
      <c r="P48" s="68" t="s">
        <v>43</v>
      </c>
    </row>
    <row r="49" spans="1:16" x14ac:dyDescent="0.25">
      <c r="A49" s="6" t="s">
        <v>15</v>
      </c>
      <c r="B49" s="56" t="s">
        <v>16</v>
      </c>
      <c r="C49" s="4">
        <f>AVERAGE(Dati_OPTN!C72:H72)</f>
        <v>19598.666666666668</v>
      </c>
      <c r="D49" s="4">
        <f>Uscite!$C49/365</f>
        <v>53.694977168949777</v>
      </c>
      <c r="E49" s="61">
        <f>Uscite!$C49/Arrivi!C3</f>
        <v>0.52379043393822777</v>
      </c>
      <c r="F49" s="7"/>
      <c r="G49" s="6" t="s">
        <v>15</v>
      </c>
      <c r="H49" s="56" t="s">
        <v>16</v>
      </c>
      <c r="I49" s="72">
        <f>Dati_OPTN!C72/365</f>
        <v>63.838356164383562</v>
      </c>
      <c r="J49" s="73">
        <f>I49/Arrivi!H3</f>
        <v>0.56079422382671473</v>
      </c>
      <c r="L49" s="6" t="s">
        <v>15</v>
      </c>
      <c r="M49" s="56" t="s">
        <v>16</v>
      </c>
      <c r="N49" s="72">
        <f>AVERAGE(Dati_OPTN!C72:L72)</f>
        <v>18179.2</v>
      </c>
      <c r="O49" s="90">
        <f>N49/365</f>
        <v>49.806027397260273</v>
      </c>
      <c r="P49" s="73">
        <f>N49/Arrivi!C3</f>
        <v>0.48585402357217311</v>
      </c>
    </row>
    <row r="50" spans="1:16" x14ac:dyDescent="0.25">
      <c r="A50" s="6"/>
      <c r="B50" s="56" t="s">
        <v>18</v>
      </c>
      <c r="C50" s="4">
        <f>AVERAGE(Dati_OPTN!C73:H73)</f>
        <v>16.5</v>
      </c>
      <c r="D50" s="4">
        <f>Uscite!$C50/365</f>
        <v>4.5205479452054796E-2</v>
      </c>
      <c r="E50" s="61">
        <f>Uscite!$C50/Arrivi!C4</f>
        <v>0.4419642857142857</v>
      </c>
      <c r="G50" s="6"/>
      <c r="H50" s="56" t="s">
        <v>18</v>
      </c>
      <c r="I50" s="74">
        <f>Dati_OPTN!C73/365</f>
        <v>4.6575342465753428E-2</v>
      </c>
      <c r="J50" s="61">
        <f>I50/Arrivi!H4</f>
        <v>0.41463414634146345</v>
      </c>
      <c r="L50" s="6"/>
      <c r="M50" s="56" t="s">
        <v>18</v>
      </c>
      <c r="N50" s="74">
        <f>AVERAGE(Dati_OPTN!C73:L73)</f>
        <v>21.2</v>
      </c>
      <c r="O50" s="4">
        <f t="shared" ref="O50:O68" si="2">N50/365</f>
        <v>5.8082191780821919E-2</v>
      </c>
      <c r="P50" s="61">
        <f>N50/Arrivi!C4</f>
        <v>0.56785714285714284</v>
      </c>
    </row>
    <row r="51" spans="1:16" x14ac:dyDescent="0.25">
      <c r="A51" s="6"/>
      <c r="B51" s="56" t="s">
        <v>20</v>
      </c>
      <c r="C51" s="4">
        <f>AVERAGE(Dati_OPTN!C74:H74)</f>
        <v>18036.166666666668</v>
      </c>
      <c r="D51" s="4">
        <f>Uscite!$C51/365</f>
        <v>49.414155251141558</v>
      </c>
      <c r="E51" s="61">
        <f>Uscite!$C51/Arrivi!C5</f>
        <v>0.64353591817316846</v>
      </c>
      <c r="G51" s="6"/>
      <c r="H51" s="56" t="s">
        <v>20</v>
      </c>
      <c r="I51" s="74">
        <f>Dati_OPTN!C74/365</f>
        <v>58.87945205479452</v>
      </c>
      <c r="J51" s="61">
        <f>I51/Arrivi!H5</f>
        <v>0.68963193530789724</v>
      </c>
      <c r="L51" s="6"/>
      <c r="M51" s="56" t="s">
        <v>20</v>
      </c>
      <c r="N51" s="74">
        <f>AVERAGE(Dati_OPTN!C74:L74)</f>
        <v>16771.5</v>
      </c>
      <c r="O51" s="4">
        <f t="shared" si="2"/>
        <v>45.949315068493149</v>
      </c>
      <c r="P51" s="61">
        <f>N51/Arrivi!C5</f>
        <v>0.59841222645099901</v>
      </c>
    </row>
    <row r="52" spans="1:16" x14ac:dyDescent="0.25">
      <c r="A52" s="6"/>
      <c r="B52" s="56" t="s">
        <v>22</v>
      </c>
      <c r="C52" s="4">
        <f>AVERAGE(Dati_OPTN!C75:H75)</f>
        <v>1546</v>
      </c>
      <c r="D52" s="4">
        <f>Uscite!$C52/365</f>
        <v>4.2356164383561641</v>
      </c>
      <c r="E52" s="61">
        <f>Uscite!$C52/Arrivi!C6</f>
        <v>0.16529455789586228</v>
      </c>
      <c r="G52" s="6"/>
      <c r="H52" s="56" t="s">
        <v>22</v>
      </c>
      <c r="I52" s="74">
        <f>Dati_OPTN!C75/365</f>
        <v>4.912328767123288</v>
      </c>
      <c r="J52" s="61">
        <f>I52/Arrivi!H6</f>
        <v>0.17330369224821188</v>
      </c>
      <c r="L52" s="6"/>
      <c r="M52" s="56" t="s">
        <v>22</v>
      </c>
      <c r="N52" s="74">
        <f>AVERAGE(Dati_OPTN!C75:L75)</f>
        <v>1386.5</v>
      </c>
      <c r="O52" s="4">
        <f t="shared" si="2"/>
        <v>3.7986301369863016</v>
      </c>
      <c r="P52" s="61">
        <f>N52/Arrivi!C6</f>
        <v>0.14824120603015076</v>
      </c>
    </row>
    <row r="53" spans="1:16" x14ac:dyDescent="0.25">
      <c r="A53" s="6" t="s">
        <v>23</v>
      </c>
      <c r="B53" s="56" t="s">
        <v>16</v>
      </c>
      <c r="C53" s="4">
        <f>AVERAGE(Dati_OPTN!C76:H76)</f>
        <v>8851.6666666666661</v>
      </c>
      <c r="D53" s="4">
        <f>Uscite!$C53/365</f>
        <v>24.251141552511413</v>
      </c>
      <c r="E53" s="61">
        <f>Uscite!$C53/Arrivi!C7</f>
        <v>0.48507599006283791</v>
      </c>
      <c r="G53" s="6" t="s">
        <v>23</v>
      </c>
      <c r="H53" s="56" t="s">
        <v>16</v>
      </c>
      <c r="I53" s="74">
        <f>Dati_OPTN!C76/365</f>
        <v>28.969863013698632</v>
      </c>
      <c r="J53" s="61">
        <f>I53/Arrivi!H7</f>
        <v>0.51963241436925656</v>
      </c>
      <c r="L53" s="6" t="s">
        <v>23</v>
      </c>
      <c r="M53" s="56" t="s">
        <v>16</v>
      </c>
      <c r="N53" s="74">
        <f>AVERAGE(Dati_OPTN!C76:L76)</f>
        <v>8204</v>
      </c>
      <c r="O53" s="4">
        <f t="shared" si="2"/>
        <v>22.476712328767125</v>
      </c>
      <c r="P53" s="61">
        <f>N53/Arrivi!C7</f>
        <v>0.44958351600175361</v>
      </c>
    </row>
    <row r="54" spans="1:16" x14ac:dyDescent="0.25">
      <c r="A54" s="6"/>
      <c r="B54" s="56" t="s">
        <v>18</v>
      </c>
      <c r="C54" s="4">
        <f>AVERAGE(Dati_OPTN!C77:H77)</f>
        <v>7.5</v>
      </c>
      <c r="D54" s="4">
        <f>Uscite!$C54/365</f>
        <v>2.0547945205479451E-2</v>
      </c>
      <c r="E54" s="61">
        <f>Uscite!$C54/Arrivi!C8</f>
        <v>0.39473684210526316</v>
      </c>
      <c r="G54" s="6"/>
      <c r="H54" s="56" t="s">
        <v>18</v>
      </c>
      <c r="I54" s="74">
        <f>Dati_OPTN!C77/365</f>
        <v>1.9178082191780823E-2</v>
      </c>
      <c r="J54" s="61">
        <f>I54/Arrivi!H8</f>
        <v>0.36842105263157898</v>
      </c>
      <c r="L54" s="6"/>
      <c r="M54" s="56" t="s">
        <v>18</v>
      </c>
      <c r="N54" s="74">
        <f>AVERAGE(Dati_OPTN!C77:L77)</f>
        <v>10</v>
      </c>
      <c r="O54" s="4">
        <f t="shared" si="2"/>
        <v>2.7397260273972601E-2</v>
      </c>
      <c r="P54" s="61">
        <f>N54/Arrivi!C8</f>
        <v>0.52631578947368418</v>
      </c>
    </row>
    <row r="55" spans="1:16" x14ac:dyDescent="0.25">
      <c r="A55" s="6"/>
      <c r="B55" s="56" t="s">
        <v>20</v>
      </c>
      <c r="C55" s="4">
        <f>AVERAGE(Dati_OPTN!C78:H78)</f>
        <v>8187</v>
      </c>
      <c r="D55" s="4">
        <f>Uscite!$C55/365</f>
        <v>22.43013698630137</v>
      </c>
      <c r="E55" s="61">
        <f>Uscite!$C55/Arrivi!C9</f>
        <v>0.59484856924884055</v>
      </c>
      <c r="G55" s="6"/>
      <c r="H55" s="56" t="s">
        <v>20</v>
      </c>
      <c r="I55" s="74">
        <f>Dati_OPTN!C78/365</f>
        <v>26.887671232876713</v>
      </c>
      <c r="J55" s="61">
        <f>I55/Arrivi!H9</f>
        <v>0.63756252842201011</v>
      </c>
      <c r="L55" s="6"/>
      <c r="M55" s="56" t="s">
        <v>20</v>
      </c>
      <c r="N55" s="74">
        <f>AVERAGE(Dati_OPTN!C78:L78)</f>
        <v>7605</v>
      </c>
      <c r="O55" s="4">
        <f t="shared" si="2"/>
        <v>20.835616438356166</v>
      </c>
      <c r="P55" s="61">
        <f>N55/Arrivi!C9</f>
        <v>0.55256178931689659</v>
      </c>
    </row>
    <row r="56" spans="1:16" x14ac:dyDescent="0.25">
      <c r="A56" s="6"/>
      <c r="B56" s="56" t="s">
        <v>22</v>
      </c>
      <c r="C56" s="4">
        <f>AVERAGE(Dati_OPTN!C79:H79)</f>
        <v>657.16666666666663</v>
      </c>
      <c r="D56" s="4">
        <f>Uscite!$C56/365</f>
        <v>1.800456621004566</v>
      </c>
      <c r="E56" s="61">
        <f>Uscite!$C56/Arrivi!C10</f>
        <v>0.14715431983579025</v>
      </c>
      <c r="G56" s="6"/>
      <c r="H56" s="56" t="s">
        <v>22</v>
      </c>
      <c r="I56" s="74">
        <f>Dati_OPTN!C79/365</f>
        <v>2.0630136986301371</v>
      </c>
      <c r="J56" s="61">
        <f>I56/Arrivi!H10</f>
        <v>0.1525217743568969</v>
      </c>
      <c r="L56" s="6"/>
      <c r="M56" s="56" t="s">
        <v>22</v>
      </c>
      <c r="N56" s="74">
        <f>AVERAGE(Dati_OPTN!C79:L79)</f>
        <v>589</v>
      </c>
      <c r="O56" s="4">
        <f t="shared" si="2"/>
        <v>1.6136986301369862</v>
      </c>
      <c r="P56" s="61">
        <f>N56/Arrivi!C10</f>
        <v>0.13189027803694719</v>
      </c>
    </row>
    <row r="57" spans="1:16" x14ac:dyDescent="0.25">
      <c r="A57" s="6" t="s">
        <v>24</v>
      </c>
      <c r="B57" s="56" t="s">
        <v>16</v>
      </c>
      <c r="C57" s="4">
        <f>AVERAGE(Dati_OPTN!C80:H80)</f>
        <v>7104.666666666667</v>
      </c>
      <c r="D57" s="4">
        <f>Uscite!$C57/365</f>
        <v>19.464840182648402</v>
      </c>
      <c r="E57" s="61">
        <f>Uscite!$C57/Arrivi!C11</f>
        <v>0.58344967288056726</v>
      </c>
      <c r="G57" s="6" t="s">
        <v>24</v>
      </c>
      <c r="H57" s="56" t="s">
        <v>16</v>
      </c>
      <c r="I57" s="74">
        <f>Dati_OPTN!C80/365</f>
        <v>22.832876712328765</v>
      </c>
      <c r="J57" s="61">
        <f>I57/Arrivi!H11</f>
        <v>0.61925991975033434</v>
      </c>
      <c r="L57" s="6" t="s">
        <v>24</v>
      </c>
      <c r="M57" s="56" t="s">
        <v>16</v>
      </c>
      <c r="N57" s="74">
        <f>AVERAGE(Dati_OPTN!C80:L80)</f>
        <v>6619.6</v>
      </c>
      <c r="O57" s="4">
        <f t="shared" si="2"/>
        <v>18.135890410958904</v>
      </c>
      <c r="P57" s="61">
        <f>N57/Arrivi!C11</f>
        <v>0.5436150119076949</v>
      </c>
    </row>
    <row r="58" spans="1:16" x14ac:dyDescent="0.25">
      <c r="A58" s="6"/>
      <c r="B58" s="56" t="s">
        <v>18</v>
      </c>
      <c r="C58" s="4">
        <f>AVERAGE(Dati_OPTN!C81:H81)</f>
        <v>4.333333333333333</v>
      </c>
      <c r="D58" s="4">
        <f>Uscite!$C58/365</f>
        <v>1.187214611872146E-2</v>
      </c>
      <c r="E58" s="61">
        <f>Uscite!$C58/Arrivi!C12</f>
        <v>0.40625</v>
      </c>
      <c r="G58" s="6"/>
      <c r="H58" s="56" t="s">
        <v>18</v>
      </c>
      <c r="I58" s="74">
        <f>Dati_OPTN!C81/365</f>
        <v>1.3698630136986301E-2</v>
      </c>
      <c r="J58" s="61">
        <f>I58/Arrivi!H12</f>
        <v>0.5</v>
      </c>
      <c r="L58" s="6"/>
      <c r="M58" s="56" t="s">
        <v>18</v>
      </c>
      <c r="N58" s="74">
        <f>AVERAGE(Dati_OPTN!C81:L81)</f>
        <v>6</v>
      </c>
      <c r="O58" s="4">
        <f t="shared" si="2"/>
        <v>1.643835616438356E-2</v>
      </c>
      <c r="P58" s="61">
        <f>N58/Arrivi!C12</f>
        <v>0.5625</v>
      </c>
    </row>
    <row r="59" spans="1:16" x14ac:dyDescent="0.25">
      <c r="A59" s="6"/>
      <c r="B59" s="56" t="s">
        <v>20</v>
      </c>
      <c r="C59" s="4">
        <f>AVERAGE(Dati_OPTN!C82:H82)</f>
        <v>6475</v>
      </c>
      <c r="D59" s="4">
        <f>Uscite!$C59/365</f>
        <v>17.739726027397261</v>
      </c>
      <c r="E59" s="61">
        <f>Uscite!$C59/Arrivi!C13</f>
        <v>0.71857948765375002</v>
      </c>
      <c r="G59" s="6"/>
      <c r="H59" s="56" t="s">
        <v>20</v>
      </c>
      <c r="I59" s="74">
        <f>Dati_OPTN!C82/365</f>
        <v>20.860273972602741</v>
      </c>
      <c r="J59" s="61">
        <f>I59/Arrivi!H13</f>
        <v>0.76769509981851181</v>
      </c>
      <c r="L59" s="6"/>
      <c r="M59" s="56" t="s">
        <v>20</v>
      </c>
      <c r="N59" s="74">
        <f>AVERAGE(Dati_OPTN!C82:L82)</f>
        <v>6052</v>
      </c>
      <c r="O59" s="4">
        <f t="shared" si="2"/>
        <v>16.580821917808219</v>
      </c>
      <c r="P59" s="61">
        <f>N59/Arrivi!C13</f>
        <v>0.67163599371127347</v>
      </c>
    </row>
    <row r="60" spans="1:16" x14ac:dyDescent="0.25">
      <c r="A60" s="6"/>
      <c r="B60" s="56" t="s">
        <v>22</v>
      </c>
      <c r="C60" s="4">
        <f>AVERAGE(Dati_OPTN!C83:H83)</f>
        <v>625.33333333333337</v>
      </c>
      <c r="D60" s="4">
        <f>Uscite!$C60/365</f>
        <v>1.7132420091324201</v>
      </c>
      <c r="E60" s="61">
        <f>Uscite!$C60/Arrivi!C14</f>
        <v>0.1981725030370253</v>
      </c>
      <c r="G60" s="6"/>
      <c r="H60" s="56" t="s">
        <v>22</v>
      </c>
      <c r="I60" s="74">
        <f>Dati_OPTN!C83/365</f>
        <v>1.9589041095890412</v>
      </c>
      <c r="J60" s="61">
        <f>I60/Arrivi!H14</f>
        <v>0.20254957507082152</v>
      </c>
      <c r="L60" s="6"/>
      <c r="M60" s="56" t="s">
        <v>22</v>
      </c>
      <c r="N60" s="74">
        <f>AVERAGE(Dati_OPTN!C83:L83)</f>
        <v>561.6</v>
      </c>
      <c r="O60" s="4">
        <f t="shared" si="2"/>
        <v>1.5386301369863014</v>
      </c>
      <c r="P60" s="61">
        <f>N60/Arrivi!C14</f>
        <v>0.17797496434796389</v>
      </c>
    </row>
    <row r="61" spans="1:16" x14ac:dyDescent="0.25">
      <c r="A61" s="6" t="s">
        <v>25</v>
      </c>
      <c r="B61" s="56" t="s">
        <v>16</v>
      </c>
      <c r="C61" s="4">
        <f>AVERAGE(Dati_OPTN!C84:H84)</f>
        <v>2683.5</v>
      </c>
      <c r="D61" s="4">
        <f>Uscite!$C61/365</f>
        <v>7.3520547945205479</v>
      </c>
      <c r="E61" s="61">
        <f>Uscite!$C61/Arrivi!C15</f>
        <v>0.48213804461745774</v>
      </c>
      <c r="G61" s="6" t="s">
        <v>25</v>
      </c>
      <c r="H61" s="56" t="s">
        <v>16</v>
      </c>
      <c r="I61" s="74">
        <f>Dati_OPTN!C84/365</f>
        <v>8.8273972602739725</v>
      </c>
      <c r="J61" s="61">
        <f>I61/Arrivi!H15</f>
        <v>0.52381726548528695</v>
      </c>
      <c r="L61" s="6" t="s">
        <v>25</v>
      </c>
      <c r="M61" s="56" t="s">
        <v>16</v>
      </c>
      <c r="N61" s="74">
        <f>AVERAGE(Dati_OPTN!C84:L84)</f>
        <v>2458.9</v>
      </c>
      <c r="O61" s="4">
        <f t="shared" si="2"/>
        <v>6.7367123287671236</v>
      </c>
      <c r="P61" s="61">
        <f>N61/Arrivi!C15</f>
        <v>0.44178469830813</v>
      </c>
    </row>
    <row r="62" spans="1:16" x14ac:dyDescent="0.25">
      <c r="A62" s="6"/>
      <c r="B62" s="56" t="s">
        <v>18</v>
      </c>
      <c r="C62" s="4">
        <f>AVERAGE(Dati_OPTN!C85:H85)</f>
        <v>3.8333333333333335</v>
      </c>
      <c r="D62" s="4">
        <f>Uscite!$C62/365</f>
        <v>1.0502283105022832E-2</v>
      </c>
      <c r="E62" s="61">
        <f>Uscite!$C62/Arrivi!C16</f>
        <v>0.63888888888888895</v>
      </c>
      <c r="G62" s="6"/>
      <c r="H62" s="56" t="s">
        <v>18</v>
      </c>
      <c r="I62" s="74">
        <f>Dati_OPTN!C85/365</f>
        <v>5.4794520547945206E-3</v>
      </c>
      <c r="J62" s="61">
        <f>I62/Arrivi!H16</f>
        <v>0.2</v>
      </c>
      <c r="L62" s="6"/>
      <c r="M62" s="56" t="s">
        <v>18</v>
      </c>
      <c r="N62" s="74">
        <f>AVERAGE(Dati_OPTN!C85:L85)</f>
        <v>4.3</v>
      </c>
      <c r="O62" s="4">
        <f t="shared" si="2"/>
        <v>1.1780821917808219E-2</v>
      </c>
      <c r="P62" s="61">
        <f>N62/Arrivi!C16</f>
        <v>0.71666666666666667</v>
      </c>
    </row>
    <row r="63" spans="1:16" x14ac:dyDescent="0.25">
      <c r="A63" s="6"/>
      <c r="B63" s="56" t="s">
        <v>20</v>
      </c>
      <c r="C63" s="4">
        <f>AVERAGE(Dati_OPTN!C86:H86)</f>
        <v>2481.5</v>
      </c>
      <c r="D63" s="4">
        <f>Uscite!$C63/365</f>
        <v>6.7986301369863016</v>
      </c>
      <c r="E63" s="61">
        <f>Uscite!$C63/Arrivi!C17</f>
        <v>0.59080988849648819</v>
      </c>
      <c r="G63" s="6"/>
      <c r="H63" s="56" t="s">
        <v>20</v>
      </c>
      <c r="I63" s="74">
        <f>Dati_OPTN!C86/365</f>
        <v>8.117808219178082</v>
      </c>
      <c r="J63" s="61">
        <f>I63/Arrivi!H17</f>
        <v>0.6315004262574595</v>
      </c>
      <c r="L63" s="6"/>
      <c r="M63" s="56" t="s">
        <v>20</v>
      </c>
      <c r="N63" s="74">
        <f>AVERAGE(Dati_OPTN!C86:L86)</f>
        <v>2279.5</v>
      </c>
      <c r="O63" s="4">
        <f t="shared" si="2"/>
        <v>6.2452054794520544</v>
      </c>
      <c r="P63" s="61">
        <f>N63/Arrivi!C17</f>
        <v>0.54271655886671155</v>
      </c>
    </row>
    <row r="64" spans="1:16" x14ac:dyDescent="0.25">
      <c r="A64" s="6"/>
      <c r="B64" s="56" t="s">
        <v>22</v>
      </c>
      <c r="C64" s="4">
        <f>AVERAGE(Dati_OPTN!C87:H87)</f>
        <v>198.16666666666666</v>
      </c>
      <c r="D64" s="4">
        <f>Uscite!$C64/365</f>
        <v>0.54292237442922375</v>
      </c>
      <c r="E64" s="61">
        <f>Uscite!$C64/Arrivi!C18</f>
        <v>0.14574650649669035</v>
      </c>
      <c r="G64" s="6"/>
      <c r="H64" s="56" t="s">
        <v>22</v>
      </c>
      <c r="I64" s="74">
        <f>Dati_OPTN!C87/365</f>
        <v>0.70410958904109588</v>
      </c>
      <c r="J64" s="61">
        <f>I64/Arrivi!H18</f>
        <v>0.17736369910282954</v>
      </c>
      <c r="L64" s="6"/>
      <c r="M64" s="56" t="s">
        <v>22</v>
      </c>
      <c r="N64" s="74">
        <f>AVERAGE(Dati_OPTN!C87:L87)</f>
        <v>175.1</v>
      </c>
      <c r="O64" s="4">
        <f t="shared" si="2"/>
        <v>0.47972602739726028</v>
      </c>
      <c r="P64" s="61">
        <f>N64/Arrivi!C18</f>
        <v>0.12878156410885019</v>
      </c>
    </row>
    <row r="65" spans="1:16" x14ac:dyDescent="0.25">
      <c r="A65" s="6" t="s">
        <v>26</v>
      </c>
      <c r="B65" s="56" t="s">
        <v>16</v>
      </c>
      <c r="C65" s="4">
        <f>AVERAGE(Dati_OPTN!C88:H88)</f>
        <v>958.83333333333337</v>
      </c>
      <c r="D65" s="4">
        <f>Uscite!$C65/365</f>
        <v>2.6269406392694066</v>
      </c>
      <c r="E65" s="61">
        <f>Uscite!$C65/Arrivi!C19</f>
        <v>0.67231506369054572</v>
      </c>
      <c r="G65" s="6" t="s">
        <v>26</v>
      </c>
      <c r="H65" s="56" t="s">
        <v>16</v>
      </c>
      <c r="I65" s="74">
        <f>Dati_OPTN!C88/365</f>
        <v>3.2082191780821918</v>
      </c>
      <c r="J65" s="61">
        <f>I65/Arrivi!H19</f>
        <v>0.73555276381909551</v>
      </c>
      <c r="L65" s="6" t="s">
        <v>26</v>
      </c>
      <c r="M65" s="56" t="s">
        <v>16</v>
      </c>
      <c r="N65" s="74">
        <f>AVERAGE(Dati_OPTN!C88:L88)</f>
        <v>896.7</v>
      </c>
      <c r="O65" s="4">
        <f t="shared" si="2"/>
        <v>2.4567123287671233</v>
      </c>
      <c r="P65" s="61">
        <f>N65/Arrivi!C19</f>
        <v>0.62874839312843289</v>
      </c>
    </row>
    <row r="66" spans="1:16" x14ac:dyDescent="0.25">
      <c r="A66" s="6"/>
      <c r="B66" s="56" t="s">
        <v>18</v>
      </c>
      <c r="C66" s="4">
        <f>AVERAGE(Dati_OPTN!C89:H89)</f>
        <v>0.83333333333333337</v>
      </c>
      <c r="D66" s="4">
        <f>Uscite!$C66/365</f>
        <v>2.2831050228310505E-3</v>
      </c>
      <c r="E66" s="61">
        <f>Uscite!$C66/Arrivi!C20</f>
        <v>0.5</v>
      </c>
      <c r="G66" s="6"/>
      <c r="H66" s="56" t="s">
        <v>18</v>
      </c>
      <c r="I66" s="74">
        <f>Dati_OPTN!C89/365</f>
        <v>8.21917808219178E-3</v>
      </c>
      <c r="J66" s="61">
        <f>I66/Arrivi!H20</f>
        <v>1.4999999999999998</v>
      </c>
      <c r="L66" s="6"/>
      <c r="M66" s="56" t="s">
        <v>18</v>
      </c>
      <c r="N66" s="74">
        <f>AVERAGE(Dati_OPTN!C89:L89)</f>
        <v>0.9</v>
      </c>
      <c r="O66" s="4">
        <f t="shared" si="2"/>
        <v>2.4657534246575342E-3</v>
      </c>
      <c r="P66" s="61">
        <f>N66/Arrivi!C20</f>
        <v>0.54</v>
      </c>
    </row>
    <row r="67" spans="1:16" x14ac:dyDescent="0.25">
      <c r="A67" s="6"/>
      <c r="B67" s="56" t="s">
        <v>20</v>
      </c>
      <c r="C67" s="4">
        <f>AVERAGE(Dati_OPTN!C90:H90)</f>
        <v>892.66666666666663</v>
      </c>
      <c r="D67" s="4">
        <f>Uscite!$C67/365</f>
        <v>2.4456621004566208</v>
      </c>
      <c r="E67" s="61">
        <f>Uscite!$C67/Arrivi!C21</f>
        <v>0.84813935075217728</v>
      </c>
      <c r="G67" s="6"/>
      <c r="H67" s="56" t="s">
        <v>20</v>
      </c>
      <c r="I67" s="74">
        <f>Dati_OPTN!C90/365</f>
        <v>3.0136986301369864</v>
      </c>
      <c r="J67" s="61">
        <f>I67/Arrivi!H21</f>
        <v>0.94827586206896564</v>
      </c>
      <c r="L67" s="6"/>
      <c r="M67" s="56" t="s">
        <v>20</v>
      </c>
      <c r="N67" s="74">
        <f>AVERAGE(Dati_OPTN!C90:L90)</f>
        <v>835</v>
      </c>
      <c r="O67" s="4">
        <f t="shared" si="2"/>
        <v>2.2876712328767121</v>
      </c>
      <c r="P67" s="61">
        <f>N67/Arrivi!C21</f>
        <v>0.79334916864608074</v>
      </c>
    </row>
    <row r="68" spans="1:16" x14ac:dyDescent="0.25">
      <c r="A68" s="55"/>
      <c r="B68" s="57" t="s">
        <v>22</v>
      </c>
      <c r="C68" s="70">
        <f>AVERAGE(Dati_OPTN!C91:H91)</f>
        <v>65.333333333333329</v>
      </c>
      <c r="D68" s="70">
        <f>Uscite!$C68/365</f>
        <v>0.17899543378995433</v>
      </c>
      <c r="E68" s="62">
        <f>Uscite!$C68/Arrivi!C22</f>
        <v>0.17562724014336917</v>
      </c>
      <c r="G68" s="55"/>
      <c r="H68" s="57" t="s">
        <v>22</v>
      </c>
      <c r="I68" s="75">
        <f>Dati_OPTN!C91/365</f>
        <v>0.18630136986301371</v>
      </c>
      <c r="J68" s="62">
        <f>I68/Arrivi!H22</f>
        <v>0.15813953488372093</v>
      </c>
      <c r="L68" s="55"/>
      <c r="M68" s="57" t="s">
        <v>22</v>
      </c>
      <c r="N68" s="75">
        <f>AVERAGE(Dati_OPTN!C91:L91)</f>
        <v>60.8</v>
      </c>
      <c r="O68" s="70">
        <f t="shared" si="2"/>
        <v>0.16657534246575342</v>
      </c>
      <c r="P68" s="62">
        <f>N68/Arrivi!C22</f>
        <v>0.16344086021505375</v>
      </c>
    </row>
  </sheetData>
  <mergeCells count="9">
    <mergeCell ref="A47:E47"/>
    <mergeCell ref="G47:J47"/>
    <mergeCell ref="L47:P47"/>
    <mergeCell ref="L1:P1"/>
    <mergeCell ref="L24:P24"/>
    <mergeCell ref="G1:J1"/>
    <mergeCell ref="G24:J24"/>
    <mergeCell ref="A1:E1"/>
    <mergeCell ref="A24:E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1"/>
  <sheetViews>
    <sheetView topLeftCell="A27" zoomScaleNormal="100" workbookViewId="0">
      <selection activeCell="K47" sqref="K47"/>
    </sheetView>
  </sheetViews>
  <sheetFormatPr defaultColWidth="8.7109375" defaultRowHeight="15" x14ac:dyDescent="0.25"/>
  <cols>
    <col min="2" max="2" width="14" customWidth="1"/>
    <col min="3" max="3" width="20.5703125" customWidth="1"/>
    <col min="4" max="4" width="22" customWidth="1"/>
    <col min="5" max="5" width="23.140625" customWidth="1"/>
    <col min="6" max="6" width="26.140625" customWidth="1"/>
    <col min="7" max="7" width="26.7109375" customWidth="1"/>
    <col min="8" max="8" width="27.140625" customWidth="1"/>
    <col min="9" max="9" width="26.140625" customWidth="1"/>
    <col min="10" max="10" width="27.7109375" customWidth="1"/>
    <col min="11" max="11" width="14.140625" customWidth="1"/>
    <col min="12" max="12" width="29.42578125" customWidth="1"/>
    <col min="13" max="13" width="13.140625" customWidth="1"/>
    <col min="14" max="14" width="16.7109375" customWidth="1"/>
  </cols>
  <sheetData>
    <row r="1" spans="1:12" ht="15.75" thickBot="1" x14ac:dyDescent="0.3">
      <c r="A1" s="123" t="s">
        <v>60</v>
      </c>
      <c r="B1" s="123"/>
      <c r="C1" s="123"/>
      <c r="D1" s="123"/>
      <c r="E1" s="123"/>
      <c r="F1" s="123"/>
      <c r="G1" s="123"/>
      <c r="H1" s="123"/>
      <c r="J1" s="123" t="s">
        <v>64</v>
      </c>
      <c r="K1" s="123"/>
      <c r="L1" s="123"/>
    </row>
    <row r="2" spans="1:12" ht="15.75" thickBot="1" x14ac:dyDescent="0.3">
      <c r="A2" s="1" t="s">
        <v>2</v>
      </c>
      <c r="B2" s="24" t="s">
        <v>54</v>
      </c>
      <c r="C2" s="25" t="s">
        <v>61</v>
      </c>
      <c r="D2" s="25" t="s">
        <v>62</v>
      </c>
      <c r="E2" s="26" t="s">
        <v>194</v>
      </c>
      <c r="F2" s="9" t="s">
        <v>46</v>
      </c>
      <c r="G2" s="1" t="s">
        <v>49</v>
      </c>
      <c r="H2" s="1" t="s">
        <v>51</v>
      </c>
      <c r="J2" s="24" t="s">
        <v>2</v>
      </c>
      <c r="K2" s="25" t="s">
        <v>40</v>
      </c>
      <c r="L2" s="26" t="s">
        <v>208</v>
      </c>
    </row>
    <row r="3" spans="1:12" x14ac:dyDescent="0.25">
      <c r="A3" s="22" t="s">
        <v>23</v>
      </c>
      <c r="B3" s="23">
        <v>12.2328767123288</v>
      </c>
      <c r="C3" s="23">
        <v>0.32265770810003735</v>
      </c>
      <c r="D3" s="23">
        <v>1</v>
      </c>
      <c r="E3" s="27">
        <f>IF(B3*(1-C3-D3) &lt; 0, 0, B3*(1-C3-D3))</f>
        <v>0</v>
      </c>
      <c r="F3" s="18">
        <f>(5*365)/2</f>
        <v>912.5</v>
      </c>
      <c r="G3" s="18">
        <f>F3</f>
        <v>912.5</v>
      </c>
      <c r="H3" s="18">
        <f>G3*B3</f>
        <v>11162.500000000029</v>
      </c>
      <c r="J3" s="31" t="s">
        <v>23</v>
      </c>
      <c r="K3" s="32" t="s">
        <v>57</v>
      </c>
      <c r="L3" s="23">
        <v>22.4118721461187</v>
      </c>
    </row>
    <row r="4" spans="1:12" x14ac:dyDescent="0.25">
      <c r="A4" s="13" t="s">
        <v>24</v>
      </c>
      <c r="B4" s="15">
        <v>8.6420091324200907</v>
      </c>
      <c r="C4" s="15">
        <v>0.26888935855436963</v>
      </c>
      <c r="D4" s="15">
        <v>0.88211983514741621</v>
      </c>
      <c r="E4" s="27">
        <f t="shared" ref="E4:E6" si="0">IF(B4*(1-C4-D4) &lt; 0, 0, B4*(1-C4-D4))</f>
        <v>0</v>
      </c>
      <c r="F4" s="18">
        <f t="shared" ref="F4:F6" si="1">(5*365)/2</f>
        <v>912.5</v>
      </c>
      <c r="G4" s="18">
        <f t="shared" ref="G4:G6" si="2">F4</f>
        <v>912.5</v>
      </c>
      <c r="H4" s="18">
        <f t="shared" ref="H4:H6" si="3">G4*B4</f>
        <v>7885.833333333333</v>
      </c>
      <c r="J4" s="16"/>
      <c r="K4" s="17" t="s">
        <v>58</v>
      </c>
      <c r="L4" s="15">
        <v>12.1068493150685</v>
      </c>
    </row>
    <row r="5" spans="1:12" x14ac:dyDescent="0.25">
      <c r="A5" s="13" t="s">
        <v>25</v>
      </c>
      <c r="B5" s="15">
        <v>3.72465753424658</v>
      </c>
      <c r="C5" s="15">
        <v>0.32548731151158516</v>
      </c>
      <c r="D5" s="15">
        <v>1</v>
      </c>
      <c r="E5" s="27">
        <f t="shared" si="0"/>
        <v>0</v>
      </c>
      <c r="F5" s="18">
        <f t="shared" si="1"/>
        <v>912.5</v>
      </c>
      <c r="G5" s="18">
        <f t="shared" si="2"/>
        <v>912.5</v>
      </c>
      <c r="H5" s="18">
        <f t="shared" si="3"/>
        <v>3398.7500000000041</v>
      </c>
      <c r="J5" s="16"/>
      <c r="K5" s="17" t="s">
        <v>59</v>
      </c>
      <c r="L5" s="15">
        <v>10.3050228310502</v>
      </c>
    </row>
    <row r="6" spans="1:12" x14ac:dyDescent="0.25">
      <c r="A6" s="13" t="s">
        <v>26</v>
      </c>
      <c r="B6" s="15">
        <v>1.01917808219178</v>
      </c>
      <c r="C6" s="15">
        <v>0.22087813620071686</v>
      </c>
      <c r="D6" s="15">
        <v>0.74148745519713255</v>
      </c>
      <c r="E6" s="27">
        <f t="shared" si="0"/>
        <v>3.8356164383561688E-2</v>
      </c>
      <c r="F6" s="18">
        <f t="shared" si="1"/>
        <v>912.5</v>
      </c>
      <c r="G6" s="18">
        <f t="shared" si="2"/>
        <v>912.5</v>
      </c>
      <c r="H6" s="18">
        <f t="shared" si="3"/>
        <v>929.9999999999992</v>
      </c>
      <c r="J6" s="16" t="s">
        <v>24</v>
      </c>
      <c r="K6" s="17" t="s">
        <v>57</v>
      </c>
      <c r="L6" s="15">
        <v>13.938356164383601</v>
      </c>
    </row>
    <row r="7" spans="1:12" ht="15.75" thickBot="1" x14ac:dyDescent="0.3">
      <c r="A7" s="20"/>
      <c r="B7" s="20"/>
      <c r="C7" s="20"/>
      <c r="D7" s="20"/>
      <c r="E7" s="28"/>
      <c r="F7" s="5"/>
      <c r="G7" s="5"/>
      <c r="J7" s="16"/>
      <c r="K7" s="17" t="s">
        <v>58</v>
      </c>
      <c r="L7" s="15">
        <v>9.3986301369863003</v>
      </c>
    </row>
    <row r="8" spans="1:12" ht="15.75" thickBot="1" x14ac:dyDescent="0.3">
      <c r="A8" s="123" t="s">
        <v>63</v>
      </c>
      <c r="B8" s="123"/>
      <c r="C8" s="123"/>
      <c r="D8" s="123"/>
      <c r="E8" s="123"/>
      <c r="F8" s="123"/>
      <c r="J8" s="16"/>
      <c r="K8" s="17" t="s">
        <v>59</v>
      </c>
      <c r="L8" s="15">
        <v>4.5397260273972604</v>
      </c>
    </row>
    <row r="9" spans="1:12" ht="15.75" thickBot="1" x14ac:dyDescent="0.3">
      <c r="A9" s="24" t="s">
        <v>2</v>
      </c>
      <c r="B9" s="25" t="s">
        <v>3</v>
      </c>
      <c r="C9" s="25" t="s">
        <v>52</v>
      </c>
      <c r="D9" s="25" t="s">
        <v>61</v>
      </c>
      <c r="E9" s="29" t="s">
        <v>62</v>
      </c>
      <c r="F9" s="1" t="s">
        <v>53</v>
      </c>
      <c r="J9" s="16" t="s">
        <v>25</v>
      </c>
      <c r="K9" s="17" t="s">
        <v>57</v>
      </c>
      <c r="L9" s="15">
        <v>4.3242009132420103</v>
      </c>
    </row>
    <row r="10" spans="1:12" x14ac:dyDescent="0.25">
      <c r="A10" s="22" t="s">
        <v>23</v>
      </c>
      <c r="B10" s="10" t="s">
        <v>18</v>
      </c>
      <c r="C10" s="23">
        <v>5.2054794520548002E-2</v>
      </c>
      <c r="D10" s="23">
        <v>5.2631578947368418E-2</v>
      </c>
      <c r="E10" s="23">
        <v>0.12280701754385966</v>
      </c>
      <c r="F10" s="30">
        <f t="shared" ref="F10:F17" si="4">C10*(1-D10-E10)</f>
        <v>4.2922374429223795E-2</v>
      </c>
      <c r="J10" s="16"/>
      <c r="K10" s="17" t="s">
        <v>58</v>
      </c>
      <c r="L10" s="15">
        <v>2.9876712328767101</v>
      </c>
    </row>
    <row r="11" spans="1:12" x14ac:dyDescent="0.25">
      <c r="A11" s="19"/>
      <c r="B11" s="14" t="s">
        <v>20</v>
      </c>
      <c r="C11" s="15">
        <v>37.6803652968037</v>
      </c>
      <c r="D11" s="23">
        <v>6.6444498303441596E-2</v>
      </c>
      <c r="E11" s="23">
        <v>0.11062772661173048</v>
      </c>
      <c r="F11" s="30">
        <f t="shared" si="4"/>
        <v>31.008219178082232</v>
      </c>
      <c r="J11" s="16"/>
      <c r="K11" s="17" t="s">
        <v>59</v>
      </c>
      <c r="L11" s="15">
        <v>1.3365296803653</v>
      </c>
    </row>
    <row r="12" spans="1:12" x14ac:dyDescent="0.25">
      <c r="A12" s="13" t="s">
        <v>24</v>
      </c>
      <c r="B12" s="14" t="s">
        <v>18</v>
      </c>
      <c r="C12" s="15">
        <v>2.92237442922374E-2</v>
      </c>
      <c r="D12" s="23">
        <v>3.125E-2</v>
      </c>
      <c r="E12" s="23">
        <v>4.6875E-2</v>
      </c>
      <c r="F12" s="30">
        <f t="shared" si="4"/>
        <v>2.6940639269406354E-2</v>
      </c>
      <c r="J12" s="16" t="s">
        <v>26</v>
      </c>
      <c r="K12" s="17" t="s">
        <v>57</v>
      </c>
      <c r="L12" s="15">
        <v>1.09041095890411</v>
      </c>
    </row>
    <row r="13" spans="1:12" x14ac:dyDescent="0.25">
      <c r="A13" s="19"/>
      <c r="B13" s="14" t="s">
        <v>20</v>
      </c>
      <c r="C13" s="15">
        <v>24.666210045662101</v>
      </c>
      <c r="D13" s="23">
        <v>4.9482589459264335E-2</v>
      </c>
      <c r="E13" s="23">
        <v>9.4781465780558696E-2</v>
      </c>
      <c r="F13" s="30">
        <f t="shared" si="4"/>
        <v>21.107762557077628</v>
      </c>
      <c r="J13" s="16"/>
      <c r="K13" s="17" t="s">
        <v>58</v>
      </c>
      <c r="L13" s="15">
        <v>0.87168949771689497</v>
      </c>
    </row>
    <row r="14" spans="1:12" x14ac:dyDescent="0.25">
      <c r="A14" s="13" t="s">
        <v>25</v>
      </c>
      <c r="B14" s="14" t="s">
        <v>18</v>
      </c>
      <c r="C14" s="15">
        <v>1.6438356164383602E-2</v>
      </c>
      <c r="D14" s="23">
        <v>0</v>
      </c>
      <c r="E14" s="23">
        <v>0</v>
      </c>
      <c r="F14" s="30">
        <f t="shared" si="4"/>
        <v>1.6438356164383602E-2</v>
      </c>
      <c r="J14" s="16"/>
      <c r="K14" s="17" t="s">
        <v>59</v>
      </c>
      <c r="L14" s="15">
        <v>0.218721461187215</v>
      </c>
    </row>
    <row r="15" spans="1:12" x14ac:dyDescent="0.25">
      <c r="A15" s="19"/>
      <c r="B15" s="14" t="s">
        <v>20</v>
      </c>
      <c r="C15" s="15">
        <v>11.5013698630137</v>
      </c>
      <c r="D15" s="23">
        <v>6.7452755280292209E-2</v>
      </c>
      <c r="E15" s="23">
        <v>0.1081467365412101</v>
      </c>
      <c r="F15" s="30">
        <f t="shared" si="4"/>
        <v>9.4817351598173527</v>
      </c>
    </row>
    <row r="16" spans="1:12" x14ac:dyDescent="0.25">
      <c r="A16" s="13" t="s">
        <v>26</v>
      </c>
      <c r="B16" s="14" t="s">
        <v>18</v>
      </c>
      <c r="C16" s="15">
        <v>4.5662100456621002E-3</v>
      </c>
      <c r="D16" s="23">
        <v>0</v>
      </c>
      <c r="E16" s="23">
        <v>0.3</v>
      </c>
      <c r="F16" s="30">
        <f t="shared" si="4"/>
        <v>3.1963470319634701E-3</v>
      </c>
    </row>
    <row r="17" spans="1:13" x14ac:dyDescent="0.25">
      <c r="A17" s="19"/>
      <c r="B17" s="14" t="s">
        <v>20</v>
      </c>
      <c r="C17" s="15">
        <v>2.8799086757990899</v>
      </c>
      <c r="D17" s="23">
        <v>3.662597114317425E-2</v>
      </c>
      <c r="E17" s="23">
        <v>7.3251942286348501E-2</v>
      </c>
      <c r="F17" s="30">
        <f t="shared" si="4"/>
        <v>2.5634703196347064</v>
      </c>
    </row>
    <row r="18" spans="1:13" ht="15.75" thickBot="1" x14ac:dyDescent="0.3">
      <c r="A18" s="20"/>
      <c r="B18" s="20"/>
      <c r="C18" s="20"/>
      <c r="D18" s="20"/>
      <c r="F18" s="28"/>
    </row>
    <row r="19" spans="1:13" ht="15.75" thickBot="1" x14ac:dyDescent="0.3">
      <c r="A19" s="120" t="s">
        <v>213</v>
      </c>
      <c r="B19" s="124"/>
      <c r="C19" s="124"/>
      <c r="D19" s="124"/>
      <c r="E19" s="124"/>
      <c r="F19" s="124"/>
      <c r="G19" s="124"/>
      <c r="H19" s="124"/>
      <c r="I19" s="125"/>
    </row>
    <row r="20" spans="1:13" ht="15.75" thickBot="1" x14ac:dyDescent="0.3">
      <c r="A20" s="24" t="s">
        <v>2</v>
      </c>
      <c r="B20" s="25" t="s">
        <v>3</v>
      </c>
      <c r="C20" s="21" t="s">
        <v>46</v>
      </c>
      <c r="D20" s="1" t="s">
        <v>47</v>
      </c>
      <c r="E20" s="1"/>
      <c r="F20" s="1" t="s">
        <v>48</v>
      </c>
      <c r="G20" s="1" t="s">
        <v>49</v>
      </c>
      <c r="H20" s="1" t="s">
        <v>50</v>
      </c>
      <c r="I20" s="1" t="s">
        <v>51</v>
      </c>
    </row>
    <row r="21" spans="1:13" ht="15.75" thickBot="1" x14ac:dyDescent="0.3">
      <c r="A21" s="33"/>
      <c r="B21" s="34"/>
      <c r="C21" s="91" t="s">
        <v>214</v>
      </c>
      <c r="D21" s="11" t="s">
        <v>55</v>
      </c>
      <c r="E21" s="12" t="s">
        <v>56</v>
      </c>
      <c r="F21" s="76"/>
      <c r="G21" s="76"/>
      <c r="H21" s="76"/>
      <c r="I21" s="77"/>
    </row>
    <row r="22" spans="1:13" x14ac:dyDescent="0.25">
      <c r="A22" s="22" t="s">
        <v>23</v>
      </c>
      <c r="B22" s="10" t="s">
        <v>18</v>
      </c>
      <c r="C22" s="78">
        <f>IF(B22="Critical",MAX(1/L3,1/(F10+F11)),MAX(1/L2,1/(F9+F10)))</f>
        <v>4.4619208671203336E-2</v>
      </c>
      <c r="D22" s="78">
        <f t="shared" ref="D22:D29" si="5">F10*C22</f>
        <v>1.9151623813210587E-3</v>
      </c>
      <c r="E22" s="78">
        <f t="shared" ref="E22:E28" si="6">IF(B22="Critical", SUM(D22:D23), E21)</f>
        <v>1.3854773644105816</v>
      </c>
      <c r="F22" s="78">
        <f>IF(B22="Critical",(E22*C22)/(1-D22),IF(B22="Normal",(E22*C22)/((1-D21)*(1-E22))))</f>
        <v>6.1937524047913292E-2</v>
      </c>
      <c r="G22" s="78">
        <f t="shared" ref="G22:G29" si="7">F22+C22</f>
        <v>0.10655673271911663</v>
      </c>
      <c r="H22" s="78">
        <f t="shared" ref="H22:I29" si="8">F22*$F10</f>
        <v>2.6585055984035873E-3</v>
      </c>
      <c r="I22" s="78">
        <f t="shared" si="8"/>
        <v>4.573667979724646E-3</v>
      </c>
    </row>
    <row r="23" spans="1:13" x14ac:dyDescent="0.25">
      <c r="A23" s="19"/>
      <c r="B23" s="14" t="s">
        <v>20</v>
      </c>
      <c r="C23" s="78">
        <f>IF(B23="Critical",MAX(1/L4,1/(F11+F12)),MAX(1/L3,1/(F10+F11)))</f>
        <v>4.4619208671203336E-2</v>
      </c>
      <c r="D23" s="79">
        <f t="shared" si="5"/>
        <v>1.3835622020292604</v>
      </c>
      <c r="E23" s="78">
        <f t="shared" si="6"/>
        <v>1.3854773644105816</v>
      </c>
      <c r="F23" s="79">
        <f>IF(B23="Critical",(E23*C23)/(1-D23),IF(B23="Normal",(E23*C23)/((1-D22)*(1-E23))))</f>
        <v>-0.1606774606405737</v>
      </c>
      <c r="G23" s="79">
        <f t="shared" si="7"/>
        <v>-0.11605825196937036</v>
      </c>
      <c r="H23" s="79">
        <f t="shared" si="8"/>
        <v>-4.9823219165205908</v>
      </c>
      <c r="I23" s="79">
        <f t="shared" si="8"/>
        <v>-3.5987597144913299</v>
      </c>
    </row>
    <row r="24" spans="1:13" x14ac:dyDescent="0.25">
      <c r="A24" s="13" t="s">
        <v>24</v>
      </c>
      <c r="B24" s="14" t="s">
        <v>18</v>
      </c>
      <c r="C24" s="78">
        <f>IF(B24="Critical",MAX(1/L6,1/(F12+F13)),MAX(1/L5,1/(F11+F12)))</f>
        <v>7.1744471744471544E-2</v>
      </c>
      <c r="D24" s="79">
        <f t="shared" si="5"/>
        <v>1.9328419328419246E-3</v>
      </c>
      <c r="E24" s="78">
        <f t="shared" si="6"/>
        <v>1.5162981162981122</v>
      </c>
      <c r="F24" s="79">
        <f t="shared" ref="F24:F29" si="9">IF(B24="Critical",(E24*C24)/(1-D24),IF(B24="Normal",(E24*C24)/((1-D23)*(1-E24))))</f>
        <v>0.10899668071597375</v>
      </c>
      <c r="G24" s="79">
        <f t="shared" si="7"/>
        <v>0.18074115246044531</v>
      </c>
      <c r="H24" s="79">
        <f t="shared" si="8"/>
        <v>2.9364402567317086E-3</v>
      </c>
      <c r="I24" s="79">
        <f t="shared" si="8"/>
        <v>4.8692821895736337E-3</v>
      </c>
    </row>
    <row r="25" spans="1:13" x14ac:dyDescent="0.25">
      <c r="A25" s="19"/>
      <c r="B25" s="14" t="s">
        <v>20</v>
      </c>
      <c r="C25" s="78">
        <f>IF(B25="Critical",MAX(1/L7,1/(F13+F14)),MAX(1/L6,1/(F12+F13)))</f>
        <v>7.1744471744471544E-2</v>
      </c>
      <c r="D25" s="79">
        <f t="shared" si="5"/>
        <v>1.5143652743652702</v>
      </c>
      <c r="E25" s="78">
        <f t="shared" si="6"/>
        <v>1.5162981162981122</v>
      </c>
      <c r="F25" s="79">
        <f t="shared" si="9"/>
        <v>-0.21111190855679729</v>
      </c>
      <c r="G25" s="79">
        <f t="shared" si="7"/>
        <v>-0.13936743681232575</v>
      </c>
      <c r="H25" s="79">
        <f t="shared" si="8"/>
        <v>-4.456100038788362</v>
      </c>
      <c r="I25" s="79">
        <f t="shared" si="8"/>
        <v>-2.9417347644230918</v>
      </c>
    </row>
    <row r="26" spans="1:13" x14ac:dyDescent="0.25">
      <c r="A26" s="13" t="s">
        <v>25</v>
      </c>
      <c r="B26" s="14" t="s">
        <v>18</v>
      </c>
      <c r="C26" s="78">
        <f>IF(B26="Critical",MAX(1/L9,1/(F14+F15)),MAX(1/L8,1/(F13+F14)))</f>
        <v>0.23125659978880669</v>
      </c>
      <c r="D26" s="79">
        <f t="shared" si="5"/>
        <v>3.8014783526927219E-3</v>
      </c>
      <c r="E26" s="78">
        <f t="shared" si="6"/>
        <v>2.1965153115100313</v>
      </c>
      <c r="F26" s="79">
        <f t="shared" si="9"/>
        <v>0.50989702482583921</v>
      </c>
      <c r="G26" s="79">
        <f t="shared" si="7"/>
        <v>0.74115362461464596</v>
      </c>
      <c r="H26" s="79">
        <f t="shared" si="8"/>
        <v>8.3818689012466925E-3</v>
      </c>
      <c r="I26" s="79">
        <f t="shared" si="8"/>
        <v>1.2183347253939415E-2</v>
      </c>
    </row>
    <row r="27" spans="1:13" x14ac:dyDescent="0.25">
      <c r="A27" s="19"/>
      <c r="B27" s="14" t="s">
        <v>20</v>
      </c>
      <c r="C27" s="78">
        <f>IF(B27="Critical",MAX(1/L10,1/(F15+F16)),MAX(1/L9,1/(F14+F15)))</f>
        <v>0.23125659978880669</v>
      </c>
      <c r="D27" s="79">
        <f t="shared" si="5"/>
        <v>2.1927138331573386</v>
      </c>
      <c r="E27" s="78">
        <f t="shared" si="6"/>
        <v>2.1965153115100313</v>
      </c>
      <c r="F27" s="79">
        <f t="shared" si="9"/>
        <v>-0.42615169226905819</v>
      </c>
      <c r="G27" s="79">
        <f t="shared" si="7"/>
        <v>-0.1948950924802515</v>
      </c>
      <c r="H27" s="79">
        <f t="shared" si="8"/>
        <v>-4.0406574840031935</v>
      </c>
      <c r="I27" s="79">
        <f t="shared" si="8"/>
        <v>-1.8479436508458551</v>
      </c>
    </row>
    <row r="28" spans="1:13" x14ac:dyDescent="0.25">
      <c r="A28" s="13" t="s">
        <v>26</v>
      </c>
      <c r="B28" s="14" t="s">
        <v>18</v>
      </c>
      <c r="C28" s="78">
        <f>IF(B28="Critical",MAX(1/L12,1/(F16+F17)),MAX(1/L11,1/(F15+F16)))</f>
        <v>0.91708542713567809</v>
      </c>
      <c r="D28" s="79">
        <f t="shared" si="5"/>
        <v>2.931323283082076E-3</v>
      </c>
      <c r="E28" s="78">
        <f t="shared" si="6"/>
        <v>2.3538525963149097</v>
      </c>
      <c r="F28" s="79">
        <f t="shared" si="9"/>
        <v>2.1650303174841037</v>
      </c>
      <c r="G28" s="79">
        <f t="shared" si="7"/>
        <v>3.0821157446197818</v>
      </c>
      <c r="H28" s="79">
        <f t="shared" si="8"/>
        <v>6.9201882294012444E-3</v>
      </c>
      <c r="I28" s="79">
        <f t="shared" si="8"/>
        <v>9.85151151248332E-3</v>
      </c>
    </row>
    <row r="29" spans="1:13" x14ac:dyDescent="0.25">
      <c r="A29" s="19"/>
      <c r="B29" s="14" t="s">
        <v>20</v>
      </c>
      <c r="C29" s="78">
        <f>IF(B29="Critical",MAX(1/L13,1/(F17+F18)),MAX(1/L12,1/(F16+F17)))</f>
        <v>0.91708542713567809</v>
      </c>
      <c r="D29" s="79">
        <f t="shared" si="5"/>
        <v>2.3509212730318279</v>
      </c>
      <c r="E29" s="78">
        <f>IF(B29="Critical", SUM(H29:H30), E28)</f>
        <v>2.3538525963149097</v>
      </c>
      <c r="F29" s="79">
        <f t="shared" si="9"/>
        <v>-1.5991625110275387</v>
      </c>
      <c r="G29" s="79">
        <f t="shared" si="7"/>
        <v>-0.68207708389186061</v>
      </c>
      <c r="H29" s="79">
        <f t="shared" si="8"/>
        <v>-4.099405633291604</v>
      </c>
      <c r="I29" s="79">
        <f t="shared" si="8"/>
        <v>-1.7484843602597764</v>
      </c>
    </row>
    <row r="30" spans="1:13" ht="15.75" thickBot="1" x14ac:dyDescent="0.3">
      <c r="E30" s="20"/>
      <c r="F30" s="20"/>
      <c r="G30" s="20"/>
      <c r="H30" s="20"/>
      <c r="I30" s="20"/>
      <c r="J30" s="20"/>
      <c r="K30" s="20"/>
      <c r="L30" s="20"/>
      <c r="M30" s="20"/>
    </row>
    <row r="31" spans="1:13" ht="15.75" thickBot="1" x14ac:dyDescent="0.3">
      <c r="A31" s="120" t="s">
        <v>228</v>
      </c>
      <c r="B31" s="121"/>
      <c r="C31" s="121"/>
      <c r="D31" s="121"/>
      <c r="E31" s="121"/>
      <c r="F31" s="121"/>
      <c r="G31" s="121"/>
      <c r="H31" s="121"/>
      <c r="I31" s="121"/>
      <c r="J31" s="122"/>
    </row>
    <row r="32" spans="1:13" ht="15.75" thickBot="1" x14ac:dyDescent="0.3">
      <c r="A32" s="24" t="s">
        <v>2</v>
      </c>
      <c r="B32" s="25" t="s">
        <v>3</v>
      </c>
      <c r="C32" s="9" t="s">
        <v>215</v>
      </c>
      <c r="D32" s="84" t="s">
        <v>216</v>
      </c>
      <c r="E32" s="1" t="s">
        <v>217</v>
      </c>
      <c r="F32" s="21" t="s">
        <v>46</v>
      </c>
      <c r="G32" s="93" t="s">
        <v>218</v>
      </c>
      <c r="H32" s="1" t="s">
        <v>219</v>
      </c>
      <c r="I32" s="1" t="s">
        <v>48</v>
      </c>
      <c r="J32" s="1" t="s">
        <v>49</v>
      </c>
    </row>
    <row r="33" spans="1:10" x14ac:dyDescent="0.25">
      <c r="A33" s="22" t="s">
        <v>23</v>
      </c>
      <c r="B33" s="10" t="s">
        <v>18</v>
      </c>
      <c r="C33" s="92">
        <f>F10</f>
        <v>4.2922374429223795E-2</v>
      </c>
      <c r="D33" s="75">
        <f>IF(B33="Critical",IF((1/F33)&gt;C33,C33,(1/F33)),((1/F33))-C32)</f>
        <v>4.2922374429223795E-2</v>
      </c>
      <c r="E33" s="78">
        <f>C33-D33</f>
        <v>0</v>
      </c>
      <c r="F33" s="78">
        <f>C22</f>
        <v>4.4619208671203336E-2</v>
      </c>
      <c r="G33" s="78">
        <f>F33*D33</f>
        <v>1.9151623813210587E-3</v>
      </c>
      <c r="H33" s="78">
        <f>IF(B33="Critical", SUM(G33:G34),#REF!)</f>
        <v>1</v>
      </c>
      <c r="I33" s="78">
        <f>IF(B33="Critical",(H33*F33)/(1-G33),IF(H33=1,"inf",(H33*F33)/((1-G32)*(1-H33))))</f>
        <v>4.470482567159309E-2</v>
      </c>
      <c r="J33" s="78">
        <f>F33+I33</f>
        <v>8.9324034342796427E-2</v>
      </c>
    </row>
    <row r="34" spans="1:10" x14ac:dyDescent="0.25">
      <c r="A34" s="19"/>
      <c r="B34" s="14" t="s">
        <v>20</v>
      </c>
      <c r="C34" s="92">
        <f t="shared" ref="C34:C40" si="10">F11</f>
        <v>31.008219178082232</v>
      </c>
      <c r="D34" s="75">
        <f t="shared" ref="D34:D40" si="11">IF(B34="Critical",IF((1/F34)&gt;C34,C34,(1/F34)),((1/F34))-C33)</f>
        <v>22.368949771689476</v>
      </c>
      <c r="E34" s="78">
        <f t="shared" ref="E34:E40" si="12">C34-D34</f>
        <v>8.6392694063927564</v>
      </c>
      <c r="F34" s="78">
        <f t="shared" ref="F34:F40" si="13">C23</f>
        <v>4.4619208671203336E-2</v>
      </c>
      <c r="G34" s="78">
        <f t="shared" ref="G34:G40" si="14">F34*D34</f>
        <v>0.99808483761867894</v>
      </c>
      <c r="H34" s="78">
        <f t="shared" ref="H34:H39" si="15">IF(B34="Critical", SUM(G34:G35),H33)</f>
        <v>1</v>
      </c>
      <c r="I34" s="78" t="str">
        <f>IF(B34="Critical",(H34*F34)/(1-G34),IF(H34=1,"inf",(H34*F34)/((1-G33)*(1-H34))))</f>
        <v>inf</v>
      </c>
      <c r="J34" s="78" t="e">
        <f t="shared" ref="J34:J40" si="16">F34+I34</f>
        <v>#VALUE!</v>
      </c>
    </row>
    <row r="35" spans="1:10" x14ac:dyDescent="0.25">
      <c r="A35" s="13" t="s">
        <v>24</v>
      </c>
      <c r="B35" s="14" t="s">
        <v>18</v>
      </c>
      <c r="C35" s="92">
        <f t="shared" si="10"/>
        <v>2.6940639269406354E-2</v>
      </c>
      <c r="D35" s="75">
        <f t="shared" si="11"/>
        <v>2.6940639269406354E-2</v>
      </c>
      <c r="E35" s="78">
        <f t="shared" si="12"/>
        <v>0</v>
      </c>
      <c r="F35" s="78">
        <f t="shared" si="13"/>
        <v>7.1744471744471544E-2</v>
      </c>
      <c r="G35" s="78">
        <f t="shared" si="14"/>
        <v>1.9328419328419246E-3</v>
      </c>
      <c r="H35" s="78">
        <f t="shared" si="15"/>
        <v>1</v>
      </c>
      <c r="I35" s="78">
        <f t="shared" ref="I35:I40" si="17">IF(B35="Critical",(H35*F35)/(1-G35),IF(H35=1,"inf",(H35*F35)/((1-G34)*(1-H35))))</f>
        <v>7.1883411015558132E-2</v>
      </c>
      <c r="J35" s="78">
        <f t="shared" si="16"/>
        <v>0.14362788276002969</v>
      </c>
    </row>
    <row r="36" spans="1:10" x14ac:dyDescent="0.25">
      <c r="A36" s="19"/>
      <c r="B36" s="14" t="s">
        <v>20</v>
      </c>
      <c r="C36" s="92">
        <f t="shared" si="10"/>
        <v>21.107762557077628</v>
      </c>
      <c r="D36" s="75">
        <f t="shared" si="11"/>
        <v>13.911415525114194</v>
      </c>
      <c r="E36" s="78">
        <f t="shared" si="12"/>
        <v>7.1963470319634339</v>
      </c>
      <c r="F36" s="78">
        <f t="shared" si="13"/>
        <v>7.1744471744471544E-2</v>
      </c>
      <c r="G36" s="78">
        <f t="shared" si="14"/>
        <v>0.99806715806715807</v>
      </c>
      <c r="H36" s="78">
        <f t="shared" si="15"/>
        <v>1</v>
      </c>
      <c r="I36" s="78" t="str">
        <f t="shared" si="17"/>
        <v>inf</v>
      </c>
      <c r="J36" s="78" t="e">
        <f t="shared" si="16"/>
        <v>#VALUE!</v>
      </c>
    </row>
    <row r="37" spans="1:10" x14ac:dyDescent="0.25">
      <c r="A37" s="13" t="s">
        <v>25</v>
      </c>
      <c r="B37" s="14" t="s">
        <v>18</v>
      </c>
      <c r="C37" s="92">
        <f t="shared" si="10"/>
        <v>1.6438356164383602E-2</v>
      </c>
      <c r="D37" s="75">
        <f t="shared" si="11"/>
        <v>1.6438356164383602E-2</v>
      </c>
      <c r="E37" s="78">
        <f t="shared" si="12"/>
        <v>0</v>
      </c>
      <c r="F37" s="78">
        <f t="shared" si="13"/>
        <v>0.23125659978880669</v>
      </c>
      <c r="G37" s="78">
        <f t="shared" si="14"/>
        <v>3.8014783526927219E-3</v>
      </c>
      <c r="H37" s="78">
        <f t="shared" si="15"/>
        <v>1</v>
      </c>
      <c r="I37" s="78">
        <f t="shared" si="17"/>
        <v>0.23213907144371415</v>
      </c>
      <c r="J37" s="78">
        <f t="shared" si="16"/>
        <v>0.46339567123252084</v>
      </c>
    </row>
    <row r="38" spans="1:10" x14ac:dyDescent="0.25">
      <c r="A38" s="19"/>
      <c r="B38" s="14" t="s">
        <v>20</v>
      </c>
      <c r="C38" s="92">
        <f t="shared" si="10"/>
        <v>9.4817351598173527</v>
      </c>
      <c r="D38" s="75">
        <f t="shared" si="11"/>
        <v>4.307762557077627</v>
      </c>
      <c r="E38" s="78">
        <f t="shared" si="12"/>
        <v>5.1739726027397257</v>
      </c>
      <c r="F38" s="78">
        <f t="shared" si="13"/>
        <v>0.23125659978880669</v>
      </c>
      <c r="G38" s="78">
        <f t="shared" si="14"/>
        <v>0.99619852164730738</v>
      </c>
      <c r="H38" s="78">
        <f t="shared" si="15"/>
        <v>1</v>
      </c>
      <c r="I38" s="78" t="str">
        <f t="shared" si="17"/>
        <v>inf</v>
      </c>
      <c r="J38" s="78" t="e">
        <f t="shared" si="16"/>
        <v>#VALUE!</v>
      </c>
    </row>
    <row r="39" spans="1:10" x14ac:dyDescent="0.25">
      <c r="A39" s="13" t="s">
        <v>26</v>
      </c>
      <c r="B39" s="14" t="s">
        <v>18</v>
      </c>
      <c r="C39" s="92">
        <f t="shared" si="10"/>
        <v>3.1963470319634701E-3</v>
      </c>
      <c r="D39" s="75">
        <f t="shared" si="11"/>
        <v>3.1963470319634701E-3</v>
      </c>
      <c r="E39" s="78">
        <f t="shared" si="12"/>
        <v>0</v>
      </c>
      <c r="F39" s="78">
        <f t="shared" si="13"/>
        <v>0.91708542713567809</v>
      </c>
      <c r="G39" s="78">
        <f t="shared" si="14"/>
        <v>2.931323283082076E-3</v>
      </c>
      <c r="H39" s="78">
        <f t="shared" si="15"/>
        <v>1</v>
      </c>
      <c r="I39" s="78">
        <f t="shared" si="17"/>
        <v>0.91978160436791234</v>
      </c>
      <c r="J39" s="78">
        <f t="shared" si="16"/>
        <v>1.8368670315035904</v>
      </c>
    </row>
    <row r="40" spans="1:10" x14ac:dyDescent="0.25">
      <c r="A40" s="19"/>
      <c r="B40" s="14" t="s">
        <v>20</v>
      </c>
      <c r="C40" s="92">
        <f t="shared" si="10"/>
        <v>2.5634703196347064</v>
      </c>
      <c r="D40" s="75">
        <f t="shared" si="11"/>
        <v>1.0872146118721466</v>
      </c>
      <c r="E40" s="78">
        <f t="shared" si="12"/>
        <v>1.4762557077625598</v>
      </c>
      <c r="F40" s="78">
        <f t="shared" si="13"/>
        <v>0.91708542713567809</v>
      </c>
      <c r="G40" s="78">
        <f t="shared" si="14"/>
        <v>0.99706867671691801</v>
      </c>
      <c r="H40" s="78">
        <f>IF(B40="Critical", SUM(D41:D41),H39)</f>
        <v>1</v>
      </c>
      <c r="I40" s="78" t="str">
        <f t="shared" si="17"/>
        <v>inf</v>
      </c>
      <c r="J40" s="78" t="e">
        <f t="shared" si="16"/>
        <v>#VALUE!</v>
      </c>
    </row>
    <row r="41" spans="1:10" ht="15.75" thickBot="1" x14ac:dyDescent="0.3"/>
    <row r="42" spans="1:10" ht="15.75" thickBot="1" x14ac:dyDescent="0.3">
      <c r="A42" s="120" t="s">
        <v>220</v>
      </c>
      <c r="B42" s="121"/>
      <c r="C42" s="121"/>
      <c r="D42" s="121"/>
      <c r="E42" s="121"/>
      <c r="F42" s="121"/>
      <c r="G42" s="121"/>
      <c r="H42" s="122"/>
    </row>
    <row r="43" spans="1:10" ht="15.75" thickBot="1" x14ac:dyDescent="0.3">
      <c r="A43" s="24" t="s">
        <v>2</v>
      </c>
      <c r="B43" s="25" t="s">
        <v>3</v>
      </c>
      <c r="C43" s="9" t="s">
        <v>215</v>
      </c>
      <c r="D43" s="21" t="s">
        <v>46</v>
      </c>
      <c r="E43" s="1" t="s">
        <v>221</v>
      </c>
      <c r="F43" s="93" t="s">
        <v>218</v>
      </c>
      <c r="G43" s="1" t="s">
        <v>219</v>
      </c>
      <c r="H43" s="1" t="s">
        <v>48</v>
      </c>
      <c r="I43" s="1" t="s">
        <v>49</v>
      </c>
    </row>
    <row r="44" spans="1:10" x14ac:dyDescent="0.25">
      <c r="A44" s="22" t="s">
        <v>23</v>
      </c>
      <c r="B44" s="10" t="s">
        <v>18</v>
      </c>
      <c r="C44" s="94">
        <f>E33*10*365</f>
        <v>0</v>
      </c>
      <c r="D44" s="78">
        <f t="shared" ref="D44:D51" si="18">IF(E33=0,0,F33)</f>
        <v>0</v>
      </c>
      <c r="E44" s="78">
        <f>(C44*D44)</f>
        <v>0</v>
      </c>
      <c r="F44" s="78">
        <f t="shared" ref="F44:F51" si="19">D44</f>
        <v>0</v>
      </c>
      <c r="G44" s="78">
        <f>IF(B44="Critical", SUM(F44:F45),#REF!)</f>
        <v>4.4619208671203336E-2</v>
      </c>
      <c r="H44" s="78">
        <f t="shared" ref="H44:H51" si="20">IF(B44="Critical",(G44*D44)/(1-F44),(G44*D44)/((1-F43)*(1-G44)))</f>
        <v>0</v>
      </c>
      <c r="I44" s="78">
        <f t="shared" ref="I44:I51" si="21">D44+H44</f>
        <v>0</v>
      </c>
    </row>
    <row r="45" spans="1:10" x14ac:dyDescent="0.25">
      <c r="A45" s="19"/>
      <c r="B45" s="14" t="s">
        <v>20</v>
      </c>
      <c r="C45" s="94">
        <f t="shared" ref="C45:C51" si="22">E34*10*365</f>
        <v>31533.333333333561</v>
      </c>
      <c r="D45" s="78">
        <f t="shared" si="18"/>
        <v>4.4619208671203336E-2</v>
      </c>
      <c r="E45" s="78">
        <f>(C45*D45)/365</f>
        <v>3.8547736441058138</v>
      </c>
      <c r="F45" s="78">
        <f t="shared" si="19"/>
        <v>4.4619208671203336E-2</v>
      </c>
      <c r="G45" s="78">
        <f t="shared" ref="G45:G50" si="23">IF(B45="Critical", SUM(F45:F46),G44)</f>
        <v>4.4619208671203336E-2</v>
      </c>
      <c r="H45" s="78">
        <f t="shared" si="20"/>
        <v>2.0838536848489168E-3</v>
      </c>
      <c r="I45" s="78">
        <f t="shared" si="21"/>
        <v>4.6703062356052254E-2</v>
      </c>
    </row>
    <row r="46" spans="1:10" x14ac:dyDescent="0.25">
      <c r="A46" s="13" t="s">
        <v>24</v>
      </c>
      <c r="B46" s="14" t="s">
        <v>18</v>
      </c>
      <c r="C46" s="94">
        <f t="shared" si="22"/>
        <v>0</v>
      </c>
      <c r="D46" s="78">
        <f t="shared" si="18"/>
        <v>0</v>
      </c>
      <c r="E46" s="78">
        <f t="shared" ref="E46:E51" si="24">(C46*D46)/365</f>
        <v>0</v>
      </c>
      <c r="F46" s="78">
        <f t="shared" si="19"/>
        <v>0</v>
      </c>
      <c r="G46" s="78">
        <f t="shared" si="23"/>
        <v>7.1744471744471544E-2</v>
      </c>
      <c r="H46" s="78">
        <f t="shared" si="20"/>
        <v>0</v>
      </c>
      <c r="I46" s="78">
        <f t="shared" si="21"/>
        <v>0</v>
      </c>
    </row>
    <row r="47" spans="1:10" x14ac:dyDescent="0.25">
      <c r="A47" s="19"/>
      <c r="B47" s="14" t="s">
        <v>20</v>
      </c>
      <c r="C47" s="94">
        <f t="shared" si="22"/>
        <v>26266.666666666533</v>
      </c>
      <c r="D47" s="78">
        <f t="shared" si="18"/>
        <v>7.1744471744471544E-2</v>
      </c>
      <c r="E47" s="78">
        <f t="shared" si="24"/>
        <v>5.1629811629811222</v>
      </c>
      <c r="F47" s="78">
        <f t="shared" si="19"/>
        <v>7.1744471744471544E-2</v>
      </c>
      <c r="G47" s="78">
        <f t="shared" si="23"/>
        <v>7.1744471744471544E-2</v>
      </c>
      <c r="H47" s="78">
        <f t="shared" si="20"/>
        <v>5.5450994572222414E-3</v>
      </c>
      <c r="I47" s="78">
        <f t="shared" si="21"/>
        <v>7.7289571201693788E-2</v>
      </c>
    </row>
    <row r="48" spans="1:10" x14ac:dyDescent="0.25">
      <c r="A48" s="13" t="s">
        <v>25</v>
      </c>
      <c r="B48" s="14" t="s">
        <v>18</v>
      </c>
      <c r="C48" s="94">
        <f t="shared" si="22"/>
        <v>0</v>
      </c>
      <c r="D48" s="78">
        <f t="shared" si="18"/>
        <v>0</v>
      </c>
      <c r="E48" s="78">
        <f t="shared" si="24"/>
        <v>0</v>
      </c>
      <c r="F48" s="78">
        <f t="shared" si="19"/>
        <v>0</v>
      </c>
      <c r="G48" s="78">
        <f t="shared" si="23"/>
        <v>0.23125659978880669</v>
      </c>
      <c r="H48" s="78">
        <f t="shared" si="20"/>
        <v>0</v>
      </c>
      <c r="I48" s="78">
        <f t="shared" si="21"/>
        <v>0</v>
      </c>
    </row>
    <row r="49" spans="1:9" x14ac:dyDescent="0.25">
      <c r="A49" s="19"/>
      <c r="B49" s="14" t="s">
        <v>20</v>
      </c>
      <c r="C49" s="94">
        <f t="shared" si="22"/>
        <v>18884.999999999996</v>
      </c>
      <c r="D49" s="78">
        <f t="shared" si="18"/>
        <v>0.23125659978880669</v>
      </c>
      <c r="E49" s="78">
        <f t="shared" si="24"/>
        <v>11.965153115100311</v>
      </c>
      <c r="F49" s="78">
        <f t="shared" si="19"/>
        <v>0.23125659978880669</v>
      </c>
      <c r="G49" s="78">
        <f t="shared" si="23"/>
        <v>0.23125659978880669</v>
      </c>
      <c r="H49" s="78">
        <f t="shared" si="20"/>
        <v>6.9567576035369019E-2</v>
      </c>
      <c r="I49" s="78">
        <f t="shared" si="21"/>
        <v>0.3008241758241757</v>
      </c>
    </row>
    <row r="50" spans="1:9" x14ac:dyDescent="0.25">
      <c r="A50" s="13" t="s">
        <v>26</v>
      </c>
      <c r="B50" s="14" t="s">
        <v>18</v>
      </c>
      <c r="C50" s="94">
        <f t="shared" si="22"/>
        <v>0</v>
      </c>
      <c r="D50" s="78">
        <f t="shared" si="18"/>
        <v>0</v>
      </c>
      <c r="E50" s="78">
        <f t="shared" si="24"/>
        <v>0</v>
      </c>
      <c r="F50" s="78">
        <f t="shared" si="19"/>
        <v>0</v>
      </c>
      <c r="G50" s="78">
        <f t="shared" si="23"/>
        <v>0.91708542713567809</v>
      </c>
      <c r="H50" s="78">
        <f t="shared" si="20"/>
        <v>0</v>
      </c>
      <c r="I50" s="78">
        <f t="shared" si="21"/>
        <v>0</v>
      </c>
    </row>
    <row r="51" spans="1:9" x14ac:dyDescent="0.25">
      <c r="A51" s="19"/>
      <c r="B51" s="14" t="s">
        <v>20</v>
      </c>
      <c r="C51" s="94">
        <f t="shared" si="22"/>
        <v>5388.333333333343</v>
      </c>
      <c r="D51" s="78">
        <f t="shared" si="18"/>
        <v>0.91708542713567809</v>
      </c>
      <c r="E51" s="78">
        <f t="shared" si="24"/>
        <v>13.5385259631491</v>
      </c>
      <c r="F51" s="78">
        <f t="shared" si="19"/>
        <v>0.91708542713567809</v>
      </c>
      <c r="G51" s="78">
        <f>IF(B51="Critical", SUM(D52:D52),G50)</f>
        <v>0.91708542713567809</v>
      </c>
      <c r="H51" s="78">
        <f t="shared" si="20"/>
        <v>10.143520633470338</v>
      </c>
      <c r="I51" s="78">
        <f t="shared" si="21"/>
        <v>11.060606060606016</v>
      </c>
    </row>
  </sheetData>
  <mergeCells count="6">
    <mergeCell ref="A42:H42"/>
    <mergeCell ref="A1:H1"/>
    <mergeCell ref="A8:F8"/>
    <mergeCell ref="J1:L1"/>
    <mergeCell ref="A19:I19"/>
    <mergeCell ref="A31:J3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C031-CF9F-4FF0-84C8-D599C28742F7}">
  <dimension ref="A1:O4"/>
  <sheetViews>
    <sheetView workbookViewId="0">
      <selection activeCell="G4" sqref="G4"/>
    </sheetView>
  </sheetViews>
  <sheetFormatPr defaultRowHeight="15" x14ac:dyDescent="0.25"/>
  <cols>
    <col min="2" max="2" width="19.28515625" customWidth="1"/>
    <col min="3" max="3" width="14.42578125" customWidth="1"/>
    <col min="4" max="4" width="19.85546875" customWidth="1"/>
    <col min="5" max="5" width="12.85546875" customWidth="1"/>
    <col min="6" max="6" width="14.28515625" customWidth="1"/>
    <col min="7" max="7" width="15.140625" customWidth="1"/>
    <col min="8" max="8" width="17.5703125" customWidth="1"/>
    <col min="9" max="9" width="18.42578125" customWidth="1"/>
    <col min="10" max="11" width="17.28515625" customWidth="1"/>
    <col min="12" max="12" width="18.28515625" customWidth="1"/>
    <col min="13" max="13" width="18.140625" customWidth="1"/>
  </cols>
  <sheetData>
    <row r="1" spans="1:15" x14ac:dyDescent="0.25">
      <c r="A1" s="95" t="s">
        <v>222</v>
      </c>
    </row>
    <row r="2" spans="1:15" x14ac:dyDescent="0.25">
      <c r="A2" s="96" t="s">
        <v>71</v>
      </c>
      <c r="B2" s="97" t="s">
        <v>223</v>
      </c>
      <c r="C2" s="96" t="s">
        <v>224</v>
      </c>
      <c r="D2" s="96" t="s">
        <v>225</v>
      </c>
      <c r="E2" s="99" t="s">
        <v>226</v>
      </c>
      <c r="F2" s="99" t="s">
        <v>46</v>
      </c>
      <c r="G2" s="99" t="s">
        <v>216</v>
      </c>
      <c r="H2" s="99" t="s">
        <v>217</v>
      </c>
      <c r="I2" s="96" t="s">
        <v>218</v>
      </c>
      <c r="J2" s="101" t="s">
        <v>219</v>
      </c>
      <c r="K2" s="101" t="s">
        <v>227</v>
      </c>
      <c r="L2" s="96" t="s">
        <v>48</v>
      </c>
      <c r="M2" s="96" t="s">
        <v>49</v>
      </c>
      <c r="N2" s="96" t="s">
        <v>50</v>
      </c>
      <c r="O2" s="96" t="s">
        <v>51</v>
      </c>
    </row>
    <row r="3" spans="1:15" x14ac:dyDescent="0.25">
      <c r="A3" s="10">
        <v>1</v>
      </c>
      <c r="B3" s="23">
        <v>5.2054794520548002E-2</v>
      </c>
      <c r="C3" s="23">
        <v>0.17543859649122806</v>
      </c>
      <c r="D3" s="98">
        <f>B3*(1-C3)</f>
        <v>4.2922374429223795E-2</v>
      </c>
      <c r="E3" s="126">
        <v>22.4118721461187</v>
      </c>
      <c r="F3" s="128">
        <f>1/E3</f>
        <v>4.4619208671203336E-2</v>
      </c>
      <c r="G3" s="100">
        <f>D3*F3</f>
        <v>1.9151623813210587E-3</v>
      </c>
      <c r="H3" s="100"/>
      <c r="I3" s="102">
        <f>F$3*D3</f>
        <v>1.9151623813210587E-3</v>
      </c>
      <c r="J3" s="129">
        <f>SUM(I3:I4)</f>
        <v>1.3854773644105816</v>
      </c>
      <c r="K3" s="129">
        <f>IF(J3&gt;=1, 0.95,J3)</f>
        <v>0.95</v>
      </c>
      <c r="L3" s="102">
        <f>IF(A3=1,(F$3*K$3)/(1-I3),(F$3*K$3)/((1-I2)*(1-K$3)))</f>
        <v>4.2469584388013432E-2</v>
      </c>
      <c r="M3" s="102">
        <f>L3+F$3</f>
        <v>8.7088793059216768E-2</v>
      </c>
      <c r="N3" s="102">
        <f>L3*D3</f>
        <v>1.8228954029558299E-3</v>
      </c>
      <c r="O3" s="102">
        <f>M3*D3</f>
        <v>3.7380577842768886E-3</v>
      </c>
    </row>
    <row r="4" spans="1:15" x14ac:dyDescent="0.25">
      <c r="A4" s="14">
        <v>2</v>
      </c>
      <c r="B4" s="15">
        <v>37.6803652968037</v>
      </c>
      <c r="C4" s="23">
        <v>0.17707222491517208</v>
      </c>
      <c r="D4" s="98">
        <f>B4*(1-C4)</f>
        <v>31.008219178082232</v>
      </c>
      <c r="E4" s="127"/>
      <c r="F4" s="128"/>
      <c r="G4" s="100"/>
      <c r="H4" s="100"/>
      <c r="I4" s="102">
        <f>F$3*D4</f>
        <v>1.3835622020292604</v>
      </c>
      <c r="J4" s="130"/>
      <c r="K4" s="130"/>
      <c r="L4" s="102">
        <f>IF(A4=1,(F$3*K$3)/(1-I4),(F$3*K$3)/((1-I3)*(1-K$3)))</f>
        <v>0.84939168776026774</v>
      </c>
      <c r="M4" s="102">
        <f>L4+F$3</f>
        <v>0.89401089643147102</v>
      </c>
      <c r="N4" s="102">
        <f>L4*D4</f>
        <v>26.338123622111571</v>
      </c>
      <c r="O4" s="102">
        <f>M4*D4</f>
        <v>27.721685824140827</v>
      </c>
    </row>
  </sheetData>
  <mergeCells count="4">
    <mergeCell ref="E3:E4"/>
    <mergeCell ref="F3:F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22"/>
  <sheetViews>
    <sheetView zoomScaleNormal="100" workbookViewId="0">
      <selection activeCell="U11" sqref="U11"/>
    </sheetView>
  </sheetViews>
  <sheetFormatPr defaultColWidth="8.7109375" defaultRowHeight="15" x14ac:dyDescent="0.25"/>
  <cols>
    <col min="2" max="2" width="18.140625" customWidth="1"/>
    <col min="5" max="5" width="12.7109375" customWidth="1"/>
    <col min="6" max="6" width="15.140625" customWidth="1"/>
    <col min="15" max="15" width="12.7109375" customWidth="1"/>
    <col min="19" max="19" width="13.85546875" customWidth="1"/>
    <col min="20" max="20" width="11.42578125" customWidth="1"/>
  </cols>
  <sheetData>
    <row r="1" spans="1:16" x14ac:dyDescent="0.25">
      <c r="A1" s="131" t="s">
        <v>65</v>
      </c>
      <c r="B1" s="131"/>
      <c r="C1" s="131"/>
      <c r="D1" s="131"/>
      <c r="E1" s="131"/>
      <c r="F1" s="2"/>
      <c r="G1" s="131" t="s">
        <v>66</v>
      </c>
      <c r="H1" s="131"/>
      <c r="I1" s="131"/>
      <c r="J1" s="131"/>
      <c r="K1" s="131"/>
      <c r="L1" s="131"/>
      <c r="M1" s="131"/>
    </row>
    <row r="2" spans="1:16" x14ac:dyDescent="0.25">
      <c r="A2" s="2" t="s">
        <v>67</v>
      </c>
      <c r="B2" s="132" t="s">
        <v>68</v>
      </c>
      <c r="C2" s="132"/>
      <c r="D2" s="2" t="s">
        <v>69</v>
      </c>
      <c r="E2" s="2" t="s">
        <v>70</v>
      </c>
      <c r="F2" s="2"/>
      <c r="G2" s="2" t="s">
        <v>67</v>
      </c>
      <c r="H2" s="132" t="s">
        <v>68</v>
      </c>
      <c r="I2" s="132"/>
      <c r="J2" s="132"/>
      <c r="K2" s="2" t="s">
        <v>71</v>
      </c>
      <c r="L2" s="2" t="s">
        <v>72</v>
      </c>
      <c r="M2" s="2" t="s">
        <v>70</v>
      </c>
    </row>
    <row r="3" spans="1:16" x14ac:dyDescent="0.25">
      <c r="A3" t="s">
        <v>23</v>
      </c>
      <c r="B3" s="133" t="s">
        <v>73</v>
      </c>
      <c r="C3" s="133"/>
      <c r="D3">
        <f>Dati_OPTN!C53/(Dati_OPTN!C7+Dati_OPTN!P76)</f>
        <v>8.022815115013697E-2</v>
      </c>
      <c r="E3">
        <f>D3+0.02</f>
        <v>0.10022815115013697</v>
      </c>
      <c r="G3" t="s">
        <v>23</v>
      </c>
      <c r="H3" s="133" t="s">
        <v>74</v>
      </c>
      <c r="I3" s="133"/>
      <c r="J3" s="133"/>
      <c r="K3">
        <f>Dati_OPTN!P76/(Dati_OPTN!C53+Dati_OPTN!C7)</f>
        <v>0.28016187130341974</v>
      </c>
      <c r="L3">
        <v>0.25</v>
      </c>
      <c r="M3">
        <f>K3+L3</f>
        <v>0.53016187130341974</v>
      </c>
    </row>
    <row r="4" spans="1:16" x14ac:dyDescent="0.25">
      <c r="A4" t="s">
        <v>24</v>
      </c>
      <c r="B4" s="133" t="s">
        <v>73</v>
      </c>
      <c r="C4" s="133"/>
      <c r="D4">
        <f>Dati_OPTN!C57/(Dati_OPTN!C11+Dati_OPTN!P80)</f>
        <v>6.2610333058726611E-2</v>
      </c>
      <c r="E4">
        <f>D4+0.02</f>
        <v>8.2610333058726615E-2</v>
      </c>
      <c r="G4" t="s">
        <v>24</v>
      </c>
      <c r="H4" s="133" t="s">
        <v>74</v>
      </c>
      <c r="I4" s="133"/>
      <c r="J4" s="133"/>
      <c r="K4">
        <f>Dati_OPTN!P80/(Dati_OPTN!C57+Dati_OPTN!C11)</f>
        <v>0.24349263186888859</v>
      </c>
      <c r="L4">
        <v>0.32</v>
      </c>
      <c r="M4">
        <f>K4+L4</f>
        <v>0.56349263186888865</v>
      </c>
    </row>
    <row r="5" spans="1:16" x14ac:dyDescent="0.25">
      <c r="A5" t="s">
        <v>25</v>
      </c>
      <c r="B5" s="133" t="s">
        <v>73</v>
      </c>
      <c r="C5" s="133"/>
      <c r="D5">
        <f>Dati_OPTN!C61/(Dati_OPTN!C15+Dati_OPTN!P84)</f>
        <v>8.022640580780116E-2</v>
      </c>
      <c r="E5">
        <f>D5+0.02</f>
        <v>0.10022640580780116</v>
      </c>
      <c r="G5" t="s">
        <v>25</v>
      </c>
      <c r="H5" s="133" t="s">
        <v>74</v>
      </c>
      <c r="I5" s="133"/>
      <c r="J5" s="133"/>
      <c r="K5">
        <f>Dati_OPTN!P84/(Dati_OPTN!C61+Dati_OPTN!C15)</f>
        <v>0.29046009113626342</v>
      </c>
      <c r="L5">
        <v>0.38</v>
      </c>
      <c r="M5">
        <f>K5+L5</f>
        <v>0.67046009113626348</v>
      </c>
    </row>
    <row r="6" spans="1:16" x14ac:dyDescent="0.25">
      <c r="A6" t="s">
        <v>26</v>
      </c>
      <c r="B6" s="133" t="s">
        <v>73</v>
      </c>
      <c r="C6" s="133"/>
      <c r="D6">
        <f>Dati_OPTN!C65/(Dati_OPTN!C19+Dati_OPTN!P88)</f>
        <v>5.2356020942408377E-2</v>
      </c>
      <c r="E6">
        <f>D6+0.02</f>
        <v>7.2356020942408381E-2</v>
      </c>
      <c r="G6" t="s">
        <v>26</v>
      </c>
      <c r="H6" s="133" t="s">
        <v>74</v>
      </c>
      <c r="I6" s="133"/>
      <c r="J6" s="133"/>
      <c r="K6">
        <f>Dati_OPTN!P88/(Dati_OPTN!C65+Dati_OPTN!C19)</f>
        <v>0.18794326241134751</v>
      </c>
      <c r="L6">
        <v>0.5</v>
      </c>
      <c r="M6">
        <f>K6+L6</f>
        <v>0.68794326241134751</v>
      </c>
    </row>
    <row r="7" spans="1:16" x14ac:dyDescent="0.25">
      <c r="C7" s="2"/>
    </row>
    <row r="9" spans="1:16" x14ac:dyDescent="0.25">
      <c r="A9" s="134" t="s">
        <v>75</v>
      </c>
      <c r="B9" s="134"/>
      <c r="C9" s="134"/>
      <c r="D9" s="134"/>
      <c r="E9" s="134"/>
      <c r="F9" s="134"/>
      <c r="G9" s="134"/>
      <c r="I9" s="134" t="s">
        <v>76</v>
      </c>
      <c r="J9" s="134"/>
      <c r="K9" s="134"/>
      <c r="L9" s="134"/>
      <c r="M9" s="134"/>
      <c r="N9" s="134"/>
      <c r="O9" s="134"/>
      <c r="P9" s="134"/>
    </row>
    <row r="10" spans="1:16" x14ac:dyDescent="0.25">
      <c r="A10" t="s">
        <v>23</v>
      </c>
      <c r="B10" t="s">
        <v>77</v>
      </c>
      <c r="C10" s="133" t="s">
        <v>78</v>
      </c>
      <c r="D10" s="133"/>
      <c r="E10" s="133"/>
      <c r="F10" s="133"/>
      <c r="G10">
        <f>Dati_OPTN!C8/365*(1-M3-E3)</f>
        <v>1.9239971433924447E-2</v>
      </c>
      <c r="I10" t="s">
        <v>23</v>
      </c>
      <c r="J10" s="135" t="s">
        <v>77</v>
      </c>
      <c r="K10" s="135"/>
      <c r="L10" s="133" t="s">
        <v>79</v>
      </c>
      <c r="M10" s="133"/>
      <c r="N10" s="133"/>
      <c r="O10" s="133"/>
      <c r="P10">
        <f>G10</f>
        <v>1.9239971433924447E-2</v>
      </c>
    </row>
    <row r="11" spans="1:16" x14ac:dyDescent="0.25">
      <c r="B11" t="s">
        <v>80</v>
      </c>
      <c r="C11" s="133" t="s">
        <v>81</v>
      </c>
      <c r="D11" s="133"/>
      <c r="E11" s="133"/>
      <c r="F11" s="133"/>
      <c r="G11">
        <f>Dati_OPTN!C9/365*(1-M3-E3)</f>
        <v>15.587414751705209</v>
      </c>
      <c r="J11" s="135" t="s">
        <v>80</v>
      </c>
      <c r="K11" s="135"/>
      <c r="L11" s="133" t="s">
        <v>82</v>
      </c>
      <c r="M11" s="133"/>
      <c r="N11" s="133"/>
      <c r="O11" s="133"/>
      <c r="P11">
        <f>G11+G19</f>
        <v>20.586769434299157</v>
      </c>
    </row>
    <row r="12" spans="1:16" x14ac:dyDescent="0.25">
      <c r="A12" t="s">
        <v>24</v>
      </c>
      <c r="B12" t="s">
        <v>77</v>
      </c>
      <c r="C12" s="133" t="s">
        <v>83</v>
      </c>
      <c r="D12" s="133"/>
      <c r="E12" s="133"/>
      <c r="F12" s="133"/>
      <c r="G12">
        <f>Dati_OPTN!C12/365*(1-M4-E4)</f>
        <v>9.6958091800653338E-3</v>
      </c>
      <c r="I12" t="s">
        <v>24</v>
      </c>
      <c r="J12" s="135" t="s">
        <v>77</v>
      </c>
      <c r="K12" s="135"/>
      <c r="L12" s="133" t="s">
        <v>84</v>
      </c>
      <c r="M12" s="133"/>
      <c r="N12" s="133"/>
      <c r="O12" s="133"/>
      <c r="P12">
        <f>G12</f>
        <v>9.6958091800653338E-3</v>
      </c>
    </row>
    <row r="13" spans="1:16" x14ac:dyDescent="0.25">
      <c r="B13" t="s">
        <v>80</v>
      </c>
      <c r="C13" s="133" t="s">
        <v>85</v>
      </c>
      <c r="D13" s="133"/>
      <c r="E13" s="133"/>
      <c r="F13" s="133"/>
      <c r="G13">
        <f>Dati_OPTN!C13/365*(1-M4-E4)</f>
        <v>9.6163035447887992</v>
      </c>
      <c r="J13" s="135" t="s">
        <v>80</v>
      </c>
      <c r="K13" s="135"/>
      <c r="L13" s="133" t="s">
        <v>86</v>
      </c>
      <c r="M13" s="133"/>
      <c r="N13" s="133"/>
      <c r="O13" s="133"/>
      <c r="P13">
        <f>G13+G20</f>
        <v>13.038924185351863</v>
      </c>
    </row>
    <row r="14" spans="1:16" x14ac:dyDescent="0.25">
      <c r="A14" t="s">
        <v>25</v>
      </c>
      <c r="B14" t="s">
        <v>77</v>
      </c>
      <c r="C14" s="133" t="s">
        <v>87</v>
      </c>
      <c r="D14" s="133"/>
      <c r="E14" s="133"/>
      <c r="F14" s="133"/>
      <c r="G14">
        <f>Dati_OPTN!C16/365*(1-M5-E5)</f>
        <v>6.2825617275598716E-3</v>
      </c>
      <c r="I14" t="s">
        <v>25</v>
      </c>
      <c r="J14" s="135" t="s">
        <v>77</v>
      </c>
      <c r="K14" s="135"/>
      <c r="L14" s="133" t="s">
        <v>88</v>
      </c>
      <c r="M14" s="133"/>
      <c r="N14" s="133"/>
      <c r="O14" s="133"/>
      <c r="P14">
        <f>G14</f>
        <v>6.2825617275598716E-3</v>
      </c>
    </row>
    <row r="15" spans="1:16" x14ac:dyDescent="0.25">
      <c r="B15" t="s">
        <v>80</v>
      </c>
      <c r="C15" s="133" t="s">
        <v>89</v>
      </c>
      <c r="D15" s="133"/>
      <c r="E15" s="133"/>
      <c r="F15" s="133"/>
      <c r="G15">
        <f>Dati_OPTN!C17/365*(1-M5-E5)</f>
        <v>2.947777962571092</v>
      </c>
      <c r="J15" s="135" t="s">
        <v>80</v>
      </c>
      <c r="K15" s="135"/>
      <c r="L15" s="133" t="s">
        <v>90</v>
      </c>
      <c r="M15" s="133"/>
      <c r="N15" s="133"/>
      <c r="O15" s="133"/>
      <c r="P15">
        <f>G15+G21</f>
        <v>3.8581211568945175</v>
      </c>
    </row>
    <row r="16" spans="1:16" x14ac:dyDescent="0.25">
      <c r="A16" t="s">
        <v>26</v>
      </c>
      <c r="B16" t="s">
        <v>91</v>
      </c>
      <c r="C16" s="133" t="s">
        <v>92</v>
      </c>
      <c r="D16" s="133"/>
      <c r="E16" s="133"/>
      <c r="F16" s="133"/>
      <c r="G16">
        <f>Dati_OPTN!C20/365*(1-M6-E6)</f>
        <v>1.3134285843629813E-3</v>
      </c>
      <c r="I16" t="s">
        <v>26</v>
      </c>
      <c r="J16" s="135" t="s">
        <v>91</v>
      </c>
      <c r="K16" s="135"/>
      <c r="L16" s="133" t="s">
        <v>93</v>
      </c>
      <c r="M16" s="133"/>
      <c r="N16" s="133"/>
      <c r="O16" s="133"/>
      <c r="P16">
        <f>G16</f>
        <v>1.3134285843629813E-3</v>
      </c>
    </row>
    <row r="17" spans="1:29" x14ac:dyDescent="0.25">
      <c r="B17" t="s">
        <v>80</v>
      </c>
      <c r="C17" s="133" t="s">
        <v>94</v>
      </c>
      <c r="D17" s="133"/>
      <c r="E17" s="133"/>
      <c r="F17" s="133"/>
      <c r="G17">
        <f>Dati_OPTN!C21/365*(1-M6-E6)</f>
        <v>0.76178857893052909</v>
      </c>
      <c r="J17" s="135" t="s">
        <v>80</v>
      </c>
      <c r="K17" s="135"/>
      <c r="L17" s="133" t="s">
        <v>95</v>
      </c>
      <c r="M17" s="133"/>
      <c r="N17" s="133"/>
      <c r="O17" s="133"/>
      <c r="P17">
        <f>G17+G22</f>
        <v>1.0441757245685701</v>
      </c>
    </row>
    <row r="18" spans="1:29" x14ac:dyDescent="0.25">
      <c r="A18" s="134" t="s">
        <v>96</v>
      </c>
      <c r="B18" s="134"/>
      <c r="C18" s="134"/>
      <c r="D18" s="134"/>
      <c r="E18" s="134"/>
      <c r="F18" s="134"/>
      <c r="G18" s="134"/>
      <c r="I18" s="134" t="s">
        <v>97</v>
      </c>
      <c r="J18" s="134"/>
      <c r="K18" s="134"/>
      <c r="L18" s="134"/>
      <c r="M18" s="134"/>
      <c r="N18" s="134"/>
      <c r="O18" s="134"/>
      <c r="P18" s="134"/>
      <c r="Q18" s="134"/>
      <c r="S18" s="2"/>
      <c r="T18" s="2"/>
    </row>
    <row r="19" spans="1:29" x14ac:dyDescent="0.25">
      <c r="A19" t="s">
        <v>23</v>
      </c>
      <c r="B19" t="s">
        <v>98</v>
      </c>
      <c r="C19" s="133" t="s">
        <v>99</v>
      </c>
      <c r="D19" s="133"/>
      <c r="E19" s="133"/>
      <c r="F19" s="133"/>
      <c r="G19">
        <f>Dati_OPTN!C10/365*(1-M3-E3)</f>
        <v>4.999354682593947</v>
      </c>
      <c r="I19" t="s">
        <v>23</v>
      </c>
      <c r="J19" s="133" t="s">
        <v>100</v>
      </c>
      <c r="K19" s="133"/>
      <c r="L19" s="133"/>
      <c r="M19" s="133"/>
      <c r="N19" s="133"/>
      <c r="O19" s="133"/>
      <c r="P19" s="133"/>
      <c r="Q19">
        <f>G10+G11+G19</f>
        <v>20.606009405733079</v>
      </c>
    </row>
    <row r="20" spans="1:29" x14ac:dyDescent="0.25">
      <c r="A20" t="s">
        <v>24</v>
      </c>
      <c r="B20" t="s">
        <v>98</v>
      </c>
      <c r="C20" s="133" t="s">
        <v>101</v>
      </c>
      <c r="D20" s="133"/>
      <c r="E20" s="133"/>
      <c r="F20" s="133"/>
      <c r="G20">
        <f>Dati_OPTN!C14/365*(1-M4-E4)</f>
        <v>3.4226206405630637</v>
      </c>
      <c r="I20" t="s">
        <v>24</v>
      </c>
      <c r="J20" s="133" t="s">
        <v>102</v>
      </c>
      <c r="K20" s="133"/>
      <c r="L20" s="133"/>
      <c r="M20" s="133"/>
      <c r="N20" s="133"/>
      <c r="O20" s="133"/>
      <c r="P20" s="133"/>
      <c r="Q20">
        <f>G12+G13+G20</f>
        <v>13.048619994531929</v>
      </c>
    </row>
    <row r="21" spans="1:29" x14ac:dyDescent="0.25">
      <c r="A21" t="s">
        <v>25</v>
      </c>
      <c r="B21" t="s">
        <v>98</v>
      </c>
      <c r="C21" s="133" t="s">
        <v>103</v>
      </c>
      <c r="D21" s="133"/>
      <c r="E21" s="133"/>
      <c r="F21" s="133"/>
      <c r="G21">
        <f>Dati_OPTN!C18/365*(1-M5-E5)</f>
        <v>0.91034319432342548</v>
      </c>
      <c r="I21" t="s">
        <v>25</v>
      </c>
      <c r="J21" s="133" t="s">
        <v>104</v>
      </c>
      <c r="K21" s="133"/>
      <c r="L21" s="133"/>
      <c r="M21" s="133"/>
      <c r="N21" s="133"/>
      <c r="O21" s="133"/>
      <c r="P21" s="133"/>
      <c r="Q21">
        <f>G14+G15+G21</f>
        <v>3.8644037186220772</v>
      </c>
    </row>
    <row r="22" spans="1:29" x14ac:dyDescent="0.25">
      <c r="A22" t="s">
        <v>26</v>
      </c>
      <c r="B22" t="s">
        <v>98</v>
      </c>
      <c r="C22" s="133" t="s">
        <v>105</v>
      </c>
      <c r="D22" s="133"/>
      <c r="E22" s="133"/>
      <c r="F22" s="133"/>
      <c r="G22">
        <f>Dati_OPTN!C22/365*(1-M6-E6)</f>
        <v>0.28238714563804101</v>
      </c>
      <c r="I22" t="s">
        <v>26</v>
      </c>
      <c r="J22" s="133" t="s">
        <v>106</v>
      </c>
      <c r="K22" s="133"/>
      <c r="L22" s="133"/>
      <c r="M22" s="133"/>
      <c r="N22" s="133"/>
      <c r="O22" s="133"/>
      <c r="P22" s="133"/>
      <c r="Q22">
        <f>G16+G17+G22</f>
        <v>1.0454891531529331</v>
      </c>
    </row>
    <row r="25" spans="1:29" x14ac:dyDescent="0.25">
      <c r="A25" s="136" t="s">
        <v>107</v>
      </c>
      <c r="B25" s="136"/>
      <c r="C25" s="136"/>
      <c r="D25" s="136"/>
      <c r="E25" s="136"/>
      <c r="F25" s="136"/>
      <c r="I25" s="136" t="s">
        <v>108</v>
      </c>
      <c r="J25" s="136"/>
      <c r="K25" s="136"/>
      <c r="L25" s="136"/>
      <c r="M25" s="136"/>
      <c r="N25" s="136"/>
      <c r="Q25" s="136" t="s">
        <v>109</v>
      </c>
      <c r="R25" s="136"/>
      <c r="S25" s="136"/>
      <c r="T25" s="136"/>
      <c r="U25" s="136"/>
      <c r="V25" s="136"/>
      <c r="Y25" s="136" t="s">
        <v>110</v>
      </c>
      <c r="Z25" s="136"/>
      <c r="AA25" s="136"/>
      <c r="AB25" s="136"/>
      <c r="AC25" s="136"/>
    </row>
    <row r="26" spans="1:29" x14ac:dyDescent="0.25">
      <c r="A26" s="2" t="s">
        <v>67</v>
      </c>
      <c r="B26" s="132" t="s">
        <v>68</v>
      </c>
      <c r="C26" s="132"/>
      <c r="D26" s="132"/>
      <c r="E26" s="2" t="s">
        <v>71</v>
      </c>
      <c r="F26" s="2" t="s">
        <v>111</v>
      </c>
      <c r="I26" s="2" t="s">
        <v>67</v>
      </c>
      <c r="J26" s="132" t="s">
        <v>68</v>
      </c>
      <c r="K26" s="132"/>
      <c r="L26" s="132"/>
      <c r="M26" s="132"/>
      <c r="N26" s="2" t="s">
        <v>112</v>
      </c>
      <c r="Q26" s="2" t="s">
        <v>67</v>
      </c>
      <c r="R26" s="132" t="s">
        <v>68</v>
      </c>
      <c r="S26" s="132"/>
      <c r="T26" s="132"/>
      <c r="U26" s="132"/>
      <c r="V26" s="2" t="s">
        <v>113</v>
      </c>
      <c r="Y26" s="2" t="s">
        <v>67</v>
      </c>
      <c r="Z26" s="132" t="s">
        <v>68</v>
      </c>
      <c r="AA26" s="132"/>
      <c r="AB26" s="2" t="s">
        <v>46</v>
      </c>
      <c r="AC26" s="2" t="s">
        <v>114</v>
      </c>
    </row>
    <row r="27" spans="1:29" x14ac:dyDescent="0.25">
      <c r="A27" t="s">
        <v>23</v>
      </c>
      <c r="B27" s="133" t="s">
        <v>115</v>
      </c>
      <c r="C27" s="133"/>
      <c r="D27" s="133"/>
      <c r="E27">
        <f>Arrivi!D31/Arrivi!D29</f>
        <v>0.45980196406014429</v>
      </c>
      <c r="F27">
        <f>1-E27</f>
        <v>0.54019803593985571</v>
      </c>
      <c r="I27" t="s">
        <v>23</v>
      </c>
      <c r="J27" s="133" t="s">
        <v>116</v>
      </c>
      <c r="K27" s="133"/>
      <c r="L27" s="133"/>
      <c r="M27" s="133"/>
      <c r="N27">
        <f>1/(2*E27*Arrivi!H31)</f>
        <v>9.2240298702594314E-2</v>
      </c>
      <c r="Q27" t="s">
        <v>23</v>
      </c>
      <c r="R27" s="133" t="s">
        <v>117</v>
      </c>
      <c r="S27" s="133"/>
      <c r="T27" s="133"/>
      <c r="U27" s="133"/>
      <c r="V27">
        <f>1/(2*F27*Arrivi!H30)</f>
        <v>6.3479719307352522E-2</v>
      </c>
      <c r="Y27" t="s">
        <v>23</v>
      </c>
      <c r="Z27" s="133" t="s">
        <v>118</v>
      </c>
      <c r="AA27" s="133"/>
      <c r="AB27">
        <f>E27*N27+F27*V27</f>
        <v>7.6703890200792421E-2</v>
      </c>
      <c r="AC27">
        <f>1/AB27</f>
        <v>13.037148407756627</v>
      </c>
    </row>
    <row r="28" spans="1:29" x14ac:dyDescent="0.25">
      <c r="A28" t="s">
        <v>24</v>
      </c>
      <c r="B28" s="133" t="s">
        <v>119</v>
      </c>
      <c r="C28" s="133"/>
      <c r="D28" s="133"/>
      <c r="E28">
        <f>Arrivi!D34/Arrivi!D32</f>
        <v>0.32570024570024569</v>
      </c>
      <c r="F28">
        <f>1-E28</f>
        <v>0.67429975429975431</v>
      </c>
      <c r="I28" t="s">
        <v>24</v>
      </c>
      <c r="J28" s="133" t="s">
        <v>120</v>
      </c>
      <c r="K28" s="133"/>
      <c r="L28" s="133"/>
      <c r="M28" s="133"/>
      <c r="N28">
        <f>1/(2*E28*Arrivi!H34)</f>
        <v>0.29662846521470904</v>
      </c>
      <c r="Q28" t="s">
        <v>24</v>
      </c>
      <c r="R28" s="133" t="s">
        <v>121</v>
      </c>
      <c r="S28" s="133"/>
      <c r="T28" s="133"/>
      <c r="U28" s="133"/>
      <c r="V28">
        <f>1/(2*F28*Arrivi!H33)</f>
        <v>6.5580601925874338E-2</v>
      </c>
      <c r="Y28" t="s">
        <v>24</v>
      </c>
      <c r="Z28" s="133" t="s">
        <v>118</v>
      </c>
      <c r="AA28" s="133"/>
      <c r="AB28">
        <f>E28*N28+F28*V28</f>
        <v>0.14083294776756458</v>
      </c>
      <c r="AC28">
        <f>1/AB28</f>
        <v>7.1006111556397551</v>
      </c>
    </row>
    <row r="29" spans="1:29" x14ac:dyDescent="0.25">
      <c r="A29" t="s">
        <v>25</v>
      </c>
      <c r="B29" s="133" t="s">
        <v>122</v>
      </c>
      <c r="C29" s="133"/>
      <c r="D29" s="133"/>
      <c r="E29">
        <f>Arrivi!D37/Arrivi!D35</f>
        <v>0.3090813093980993</v>
      </c>
      <c r="F29">
        <f>1-E29</f>
        <v>0.6909186906019007</v>
      </c>
      <c r="I29" t="s">
        <v>25</v>
      </c>
      <c r="J29" s="133" t="s">
        <v>123</v>
      </c>
      <c r="K29" s="133"/>
      <c r="L29" s="133"/>
      <c r="M29" s="133"/>
      <c r="N29">
        <f>1/(2*E29*Arrivi!H37)</f>
        <v>1.0506397061594894</v>
      </c>
      <c r="Q29" t="s">
        <v>25</v>
      </c>
      <c r="R29" s="133" t="s">
        <v>124</v>
      </c>
      <c r="S29" s="133"/>
      <c r="T29" s="133"/>
      <c r="U29" s="133"/>
      <c r="V29">
        <f>1/(2*F29*Arrivi!H36)</f>
        <v>0.20117369900147355</v>
      </c>
      <c r="Y29" t="s">
        <v>25</v>
      </c>
      <c r="Z29" s="133" t="s">
        <v>118</v>
      </c>
      <c r="AA29" s="133"/>
      <c r="AB29">
        <f>E29*N29+F29*V29</f>
        <v>0.46372776478304834</v>
      </c>
      <c r="AC29">
        <f>1/AB29</f>
        <v>2.156437625570776</v>
      </c>
    </row>
    <row r="30" spans="1:29" x14ac:dyDescent="0.25">
      <c r="A30" t="s">
        <v>26</v>
      </c>
      <c r="B30" s="133" t="s">
        <v>125</v>
      </c>
      <c r="C30" s="133"/>
      <c r="D30" s="133"/>
      <c r="E30">
        <f>Arrivi!D40/Arrivi!D38</f>
        <v>0.20058626465661641</v>
      </c>
      <c r="F30">
        <f>1-E30</f>
        <v>0.79941373534338356</v>
      </c>
      <c r="I30" t="s">
        <v>26</v>
      </c>
      <c r="J30" s="133" t="s">
        <v>126</v>
      </c>
      <c r="K30" s="133"/>
      <c r="L30" s="133"/>
      <c r="M30" s="133"/>
      <c r="N30">
        <f>1/(2*E30*Arrivi!H40)</f>
        <v>8.1235087980912617</v>
      </c>
      <c r="Q30" t="s">
        <v>26</v>
      </c>
      <c r="R30" s="133" t="s">
        <v>127</v>
      </c>
      <c r="S30" s="133"/>
      <c r="T30" s="133"/>
      <c r="U30" s="133"/>
      <c r="V30">
        <f>1/(2*F30*Arrivi!H39)</f>
        <v>0.58536487085465616</v>
      </c>
      <c r="Y30" t="s">
        <v>26</v>
      </c>
      <c r="Z30" s="133" t="s">
        <v>118</v>
      </c>
      <c r="AA30" s="133"/>
      <c r="AB30">
        <f>E30*N30+F30*V30</f>
        <v>2.0974130036630036</v>
      </c>
      <c r="AC30">
        <f>1/AB30</f>
        <v>0.47677782022594556</v>
      </c>
    </row>
    <row r="33" spans="1:9" x14ac:dyDescent="0.25">
      <c r="A33" s="137" t="s">
        <v>128</v>
      </c>
      <c r="B33" s="137"/>
      <c r="C33" s="137"/>
      <c r="D33" s="137"/>
      <c r="F33" s="138" t="s">
        <v>129</v>
      </c>
      <c r="G33" s="138"/>
      <c r="H33" s="138"/>
      <c r="I33" s="138"/>
    </row>
    <row r="34" spans="1:9" x14ac:dyDescent="0.25">
      <c r="A34" t="s">
        <v>23</v>
      </c>
      <c r="B34" s="139" t="s">
        <v>130</v>
      </c>
      <c r="C34" s="139"/>
      <c r="D34">
        <f>Q19*AB27</f>
        <v>1.5805610829338461</v>
      </c>
      <c r="F34" t="s">
        <v>23</v>
      </c>
      <c r="G34" s="133" t="s">
        <v>131</v>
      </c>
      <c r="H34" s="133"/>
      <c r="I34">
        <f>1/(2*E27*F27)-1</f>
        <v>1.0130111547150507</v>
      </c>
    </row>
    <row r="35" spans="1:9" x14ac:dyDescent="0.25">
      <c r="A35" t="s">
        <v>24</v>
      </c>
      <c r="B35" s="139" t="s">
        <v>132</v>
      </c>
      <c r="C35" s="139"/>
      <c r="D35">
        <f>Q20*AB28</f>
        <v>1.8376756181287139</v>
      </c>
      <c r="F35" t="s">
        <v>24</v>
      </c>
      <c r="G35" s="133" t="s">
        <v>131</v>
      </c>
      <c r="H35" s="133"/>
      <c r="I35">
        <f>1/(2*E28*F28)-1</f>
        <v>1.2766638765442981</v>
      </c>
    </row>
    <row r="36" spans="1:9" x14ac:dyDescent="0.25">
      <c r="A36" t="s">
        <v>25</v>
      </c>
      <c r="B36" s="139" t="s">
        <v>133</v>
      </c>
      <c r="C36" s="139"/>
      <c r="D36">
        <f>Q21*AB29</f>
        <v>1.7920312986559159</v>
      </c>
      <c r="F36" t="s">
        <v>25</v>
      </c>
      <c r="G36" s="133" t="s">
        <v>131</v>
      </c>
      <c r="H36" s="133"/>
      <c r="I36">
        <f>1/(2*E29*F29)-1</f>
        <v>1.3413714565768982</v>
      </c>
    </row>
    <row r="37" spans="1:9" x14ac:dyDescent="0.25">
      <c r="A37" t="s">
        <v>26</v>
      </c>
      <c r="B37" s="139" t="s">
        <v>134</v>
      </c>
      <c r="C37" s="139"/>
      <c r="D37">
        <f>Q22*AB30</f>
        <v>2.1928225450115835</v>
      </c>
      <c r="F37" t="s">
        <v>26</v>
      </c>
      <c r="G37" s="133" t="s">
        <v>131</v>
      </c>
      <c r="H37" s="133"/>
      <c r="I37">
        <f>1/(2*E30*F30)-1</f>
        <v>2.1181514658069514</v>
      </c>
    </row>
    <row r="40" spans="1:9" x14ac:dyDescent="0.25">
      <c r="A40" s="137" t="s">
        <v>135</v>
      </c>
      <c r="B40" s="137"/>
      <c r="C40" s="137"/>
      <c r="D40" s="137"/>
    </row>
    <row r="41" spans="1:9" x14ac:dyDescent="0.25">
      <c r="A41" s="2" t="s">
        <v>67</v>
      </c>
      <c r="B41" s="2" t="s">
        <v>136</v>
      </c>
      <c r="C41" s="2" t="s">
        <v>137</v>
      </c>
      <c r="D41" s="2" t="s">
        <v>138</v>
      </c>
    </row>
    <row r="42" spans="1:9" x14ac:dyDescent="0.25">
      <c r="A42" t="s">
        <v>23</v>
      </c>
      <c r="B42" t="s">
        <v>139</v>
      </c>
      <c r="C42">
        <f>P10/Q19</f>
        <v>9.3370681605975739E-4</v>
      </c>
      <c r="D42">
        <f>C42*D34</f>
        <v>1.4757806563341237E-3</v>
      </c>
    </row>
    <row r="43" spans="1:9" x14ac:dyDescent="0.25">
      <c r="B43" t="s">
        <v>140</v>
      </c>
      <c r="C43">
        <f>P11/Q19</f>
        <v>0.99906629318394036</v>
      </c>
      <c r="D43">
        <f>C43*D34</f>
        <v>1.5790853022775122</v>
      </c>
    </row>
    <row r="44" spans="1:9" x14ac:dyDescent="0.25">
      <c r="A44" t="s">
        <v>24</v>
      </c>
      <c r="B44" t="s">
        <v>139</v>
      </c>
      <c r="C44">
        <f>P12/Q20</f>
        <v>7.4305245950364077E-4</v>
      </c>
      <c r="D44">
        <f>C44*D35</f>
        <v>1.3654893878204141E-3</v>
      </c>
    </row>
    <row r="45" spans="1:9" x14ac:dyDescent="0.25">
      <c r="B45" t="s">
        <v>140</v>
      </c>
      <c r="C45">
        <f>P13/Q20</f>
        <v>0.99925694754049632</v>
      </c>
      <c r="D45">
        <f>C45*D35</f>
        <v>1.8363101287408934</v>
      </c>
    </row>
    <row r="46" spans="1:9" x14ac:dyDescent="0.25">
      <c r="A46" t="s">
        <v>25</v>
      </c>
      <c r="B46" t="s">
        <v>139</v>
      </c>
      <c r="C46">
        <f>P14/Q21</f>
        <v>1.6257519102584944E-3</v>
      </c>
      <c r="D46">
        <f>C46*D36</f>
        <v>2.9133983070328659E-3</v>
      </c>
    </row>
    <row r="47" spans="1:9" x14ac:dyDescent="0.25">
      <c r="B47" t="s">
        <v>140</v>
      </c>
      <c r="C47">
        <f>P15/Q21</f>
        <v>0.99837424808974151</v>
      </c>
      <c r="D47">
        <f>C47*D36</f>
        <v>1.7891179003488831</v>
      </c>
    </row>
    <row r="48" spans="1:9" x14ac:dyDescent="0.25">
      <c r="A48" t="s">
        <v>26</v>
      </c>
      <c r="B48" t="s">
        <v>139</v>
      </c>
      <c r="C48">
        <f>P16/Q22</f>
        <v>1.2562814070351759E-3</v>
      </c>
      <c r="D48">
        <f>C48*D37</f>
        <v>2.7548021922256076E-3</v>
      </c>
    </row>
    <row r="49" spans="1:20" x14ac:dyDescent="0.25">
      <c r="B49" t="s">
        <v>140</v>
      </c>
      <c r="C49">
        <f>P17/Q22</f>
        <v>0.99874371859296485</v>
      </c>
      <c r="D49">
        <f>C49*D37</f>
        <v>2.190067742819358</v>
      </c>
    </row>
    <row r="51" spans="1:20" x14ac:dyDescent="0.25">
      <c r="A51" s="140" t="s">
        <v>141</v>
      </c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</row>
    <row r="52" spans="1:20" x14ac:dyDescent="0.25">
      <c r="A52" s="141" t="s">
        <v>142</v>
      </c>
      <c r="B52" s="141"/>
      <c r="C52" s="141"/>
      <c r="D52" s="141"/>
      <c r="E52" s="141"/>
      <c r="F52" s="141"/>
      <c r="I52" s="141" t="s">
        <v>143</v>
      </c>
      <c r="J52" s="141"/>
      <c r="K52" s="141"/>
      <c r="L52" s="141"/>
      <c r="M52" s="141"/>
      <c r="N52" s="141"/>
      <c r="O52" s="141"/>
    </row>
    <row r="53" spans="1:20" x14ac:dyDescent="0.25">
      <c r="A53" s="2" t="s">
        <v>67</v>
      </c>
      <c r="B53" s="2" t="s">
        <v>144</v>
      </c>
      <c r="C53" s="132" t="s">
        <v>68</v>
      </c>
      <c r="D53" s="132"/>
      <c r="E53" s="132"/>
      <c r="F53" s="2" t="s">
        <v>145</v>
      </c>
      <c r="I53" s="2" t="s">
        <v>67</v>
      </c>
      <c r="J53" s="132" t="s">
        <v>144</v>
      </c>
      <c r="K53" s="132"/>
      <c r="L53" s="132" t="s">
        <v>68</v>
      </c>
      <c r="M53" s="132"/>
      <c r="N53" s="132"/>
      <c r="O53" s="2" t="s">
        <v>146</v>
      </c>
    </row>
    <row r="54" spans="1:20" x14ac:dyDescent="0.25">
      <c r="A54" t="s">
        <v>23</v>
      </c>
      <c r="B54" t="s">
        <v>77</v>
      </c>
      <c r="C54" s="133" t="s">
        <v>147</v>
      </c>
      <c r="D54" s="133"/>
      <c r="E54" s="133"/>
      <c r="F54">
        <f>(D34*AB27*(1+I34))/(2*(1-D42))</f>
        <v>0.1222042352739537</v>
      </c>
      <c r="I54" t="s">
        <v>23</v>
      </c>
      <c r="J54" s="133" t="s">
        <v>77</v>
      </c>
      <c r="K54" s="133"/>
      <c r="L54" s="133" t="s">
        <v>148</v>
      </c>
      <c r="M54" s="133"/>
      <c r="N54" s="133"/>
      <c r="O54">
        <f>F54+AB27</f>
        <v>0.19890812547474612</v>
      </c>
    </row>
    <row r="55" spans="1:20" x14ac:dyDescent="0.25">
      <c r="B55" t="s">
        <v>80</v>
      </c>
      <c r="C55" s="133" t="s">
        <v>149</v>
      </c>
      <c r="D55" s="133"/>
      <c r="E55" s="133"/>
      <c r="F55">
        <f>(D34*AB27*(1+I34))/(2*(1-D42)*(1-D34))</f>
        <v>-0.21049332941229656</v>
      </c>
      <c r="J55" s="133" t="s">
        <v>80</v>
      </c>
      <c r="K55" s="133"/>
      <c r="L55" s="133" t="s">
        <v>150</v>
      </c>
      <c r="M55" s="133"/>
      <c r="N55" s="133"/>
      <c r="O55">
        <f>F55+AB27</f>
        <v>-0.13378943921150416</v>
      </c>
      <c r="S55" s="142" t="s">
        <v>151</v>
      </c>
      <c r="T55" s="142"/>
    </row>
    <row r="56" spans="1:20" x14ac:dyDescent="0.25">
      <c r="A56" t="s">
        <v>24</v>
      </c>
      <c r="B56" t="s">
        <v>77</v>
      </c>
      <c r="C56" s="133" t="s">
        <v>147</v>
      </c>
      <c r="D56" s="133"/>
      <c r="E56" s="133"/>
      <c r="F56">
        <f>(D35*AB28*(1+I35))/(2*(1-D44))</f>
        <v>0.29500914142831403</v>
      </c>
      <c r="I56" t="s">
        <v>24</v>
      </c>
      <c r="J56" s="133" t="s">
        <v>77</v>
      </c>
      <c r="K56" s="133"/>
      <c r="L56" s="133" t="s">
        <v>148</v>
      </c>
      <c r="M56" s="133"/>
      <c r="N56" s="133"/>
      <c r="O56">
        <f>F56+AB28</f>
        <v>0.43584208919587863</v>
      </c>
      <c r="S56" t="s">
        <v>23</v>
      </c>
      <c r="T56" t="b">
        <f>IF(Q19&lt;AC27,TRUE())</f>
        <v>0</v>
      </c>
    </row>
    <row r="57" spans="1:20" x14ac:dyDescent="0.25">
      <c r="B57" t="s">
        <v>80</v>
      </c>
      <c r="C57" s="133" t="s">
        <v>149</v>
      </c>
      <c r="D57" s="133"/>
      <c r="E57" s="133"/>
      <c r="F57">
        <f>(D35*AB28*(1+I35))/(2*(1-D44)*(1-D35))</f>
        <v>-0.3521758721918346</v>
      </c>
      <c r="J57" s="133" t="s">
        <v>80</v>
      </c>
      <c r="K57" s="133"/>
      <c r="L57" s="133" t="s">
        <v>150</v>
      </c>
      <c r="M57" s="133"/>
      <c r="N57" s="133"/>
      <c r="O57">
        <f>F57+AB28</f>
        <v>-0.21134292442427002</v>
      </c>
      <c r="S57" t="s">
        <v>24</v>
      </c>
      <c r="T57" t="b">
        <f>IF(Q20&lt;AC28,TRUE())</f>
        <v>0</v>
      </c>
    </row>
    <row r="58" spans="1:20" x14ac:dyDescent="0.25">
      <c r="A58" t="s">
        <v>25</v>
      </c>
      <c r="B58" t="s">
        <v>77</v>
      </c>
      <c r="C58" s="133" t="s">
        <v>147</v>
      </c>
      <c r="D58" s="133"/>
      <c r="E58" s="133"/>
      <c r="F58">
        <f>(D36*AB29*(1+I36))/(2*(1-D46))</f>
        <v>0.97569961407009964</v>
      </c>
      <c r="I58" t="s">
        <v>25</v>
      </c>
      <c r="J58" s="133" t="s">
        <v>77</v>
      </c>
      <c r="K58" s="133"/>
      <c r="L58" s="133" t="s">
        <v>148</v>
      </c>
      <c r="M58" s="133"/>
      <c r="N58" s="133"/>
      <c r="O58">
        <f>F58+AB29</f>
        <v>1.439427378853148</v>
      </c>
      <c r="S58" t="s">
        <v>25</v>
      </c>
      <c r="T58" t="b">
        <f>IF(Q21&lt;AC29,TRUE())</f>
        <v>0</v>
      </c>
    </row>
    <row r="59" spans="1:20" x14ac:dyDescent="0.25">
      <c r="B59" t="s">
        <v>80</v>
      </c>
      <c r="C59" s="133" t="s">
        <v>149</v>
      </c>
      <c r="D59" s="133"/>
      <c r="E59" s="133"/>
      <c r="F59">
        <f>(D36*AB29*(1+I36))/(2*(1-D46)*(1-D36))</f>
        <v>-1.2318952744997205</v>
      </c>
      <c r="J59" s="133" t="s">
        <v>80</v>
      </c>
      <c r="K59" s="133"/>
      <c r="L59" s="133" t="s">
        <v>150</v>
      </c>
      <c r="M59" s="133"/>
      <c r="N59" s="133"/>
      <c r="O59">
        <f>F59+AB29</f>
        <v>-0.76816750971667214</v>
      </c>
      <c r="S59" t="s">
        <v>26</v>
      </c>
      <c r="T59" t="b">
        <f>IF(Q22&lt;AC30,TRUE())</f>
        <v>0</v>
      </c>
    </row>
    <row r="60" spans="1:20" x14ac:dyDescent="0.25">
      <c r="A60" t="s">
        <v>26</v>
      </c>
      <c r="B60" t="s">
        <v>91</v>
      </c>
      <c r="C60" s="133" t="s">
        <v>147</v>
      </c>
      <c r="D60" s="133"/>
      <c r="E60" s="133"/>
      <c r="F60">
        <f>(D37*AB30*(1+I37))/(2*(1-D48))</f>
        <v>7.1903942263427414</v>
      </c>
      <c r="I60" t="s">
        <v>26</v>
      </c>
      <c r="J60" s="133" t="s">
        <v>91</v>
      </c>
      <c r="K60" s="133"/>
      <c r="L60" s="133" t="s">
        <v>148</v>
      </c>
      <c r="M60" s="133"/>
      <c r="N60" s="133"/>
      <c r="O60">
        <f>F60+AB30</f>
        <v>9.287807230005745</v>
      </c>
    </row>
    <row r="61" spans="1:20" x14ac:dyDescent="0.25">
      <c r="B61" t="s">
        <v>80</v>
      </c>
      <c r="C61" s="133" t="s">
        <v>149</v>
      </c>
      <c r="D61" s="133"/>
      <c r="E61" s="133"/>
      <c r="F61">
        <f>(D37*AB30*(1+I37))/(2*(1-D48)*(1-D37))</f>
        <v>-6.0280502379948864</v>
      </c>
      <c r="J61" s="133" t="s">
        <v>80</v>
      </c>
      <c r="K61" s="133"/>
      <c r="L61" s="133" t="s">
        <v>150</v>
      </c>
      <c r="M61" s="133"/>
      <c r="N61" s="133"/>
      <c r="O61">
        <f>F61+AB30</f>
        <v>-3.9306372343318827</v>
      </c>
    </row>
    <row r="62" spans="1:20" x14ac:dyDescent="0.25">
      <c r="A62" s="141" t="s">
        <v>152</v>
      </c>
      <c r="B62" s="141"/>
      <c r="C62" s="141"/>
      <c r="D62" s="141"/>
      <c r="E62" s="141"/>
      <c r="F62" s="141"/>
      <c r="I62" s="141" t="s">
        <v>153</v>
      </c>
      <c r="J62" s="141"/>
      <c r="K62" s="141"/>
      <c r="L62" s="141"/>
      <c r="M62" s="141"/>
      <c r="N62" s="141"/>
      <c r="O62" s="141"/>
    </row>
    <row r="63" spans="1:20" x14ac:dyDescent="0.25">
      <c r="A63" s="2" t="s">
        <v>67</v>
      </c>
      <c r="B63" s="132" t="s">
        <v>68</v>
      </c>
      <c r="C63" s="132"/>
      <c r="D63" s="132"/>
      <c r="E63" s="132"/>
      <c r="F63" s="2" t="s">
        <v>145</v>
      </c>
      <c r="I63" s="2" t="s">
        <v>67</v>
      </c>
      <c r="J63" s="132" t="s">
        <v>68</v>
      </c>
      <c r="K63" s="132"/>
      <c r="L63" s="132"/>
      <c r="M63" s="132"/>
      <c r="N63" s="132"/>
      <c r="O63" s="2" t="s">
        <v>146</v>
      </c>
    </row>
    <row r="64" spans="1:20" x14ac:dyDescent="0.25">
      <c r="A64" t="s">
        <v>23</v>
      </c>
      <c r="B64" s="133" t="s">
        <v>154</v>
      </c>
      <c r="C64" s="133"/>
      <c r="D64" s="133"/>
      <c r="E64" s="133"/>
      <c r="F64">
        <f>C42*F54+C43*F55</f>
        <v>-0.21018268742846255</v>
      </c>
      <c r="I64" t="s">
        <v>23</v>
      </c>
      <c r="J64" s="133" t="s">
        <v>155</v>
      </c>
      <c r="K64" s="133"/>
      <c r="L64" s="133"/>
      <c r="M64" s="133"/>
      <c r="N64" s="133"/>
      <c r="O64">
        <f>C42*O54+C43*O55</f>
        <v>-0.13347879722767014</v>
      </c>
    </row>
    <row r="65" spans="1:15" x14ac:dyDescent="0.25">
      <c r="A65" t="s">
        <v>24</v>
      </c>
      <c r="B65" s="133" t="s">
        <v>154</v>
      </c>
      <c r="C65" s="133"/>
      <c r="D65" s="133"/>
      <c r="E65" s="133"/>
      <c r="F65">
        <f>C44*F56+C45*F57</f>
        <v>-0.35169497977571024</v>
      </c>
      <c r="I65" t="s">
        <v>24</v>
      </c>
      <c r="J65" s="133" t="s">
        <v>155</v>
      </c>
      <c r="K65" s="133"/>
      <c r="L65" s="133"/>
      <c r="M65" s="133"/>
      <c r="N65" s="133"/>
      <c r="O65">
        <f>C44*O56+C45*O57</f>
        <v>-0.21086203200814566</v>
      </c>
    </row>
    <row r="66" spans="1:15" x14ac:dyDescent="0.25">
      <c r="A66" t="s">
        <v>25</v>
      </c>
      <c r="B66" s="133" t="s">
        <v>154</v>
      </c>
      <c r="C66" s="133"/>
      <c r="D66" s="133"/>
      <c r="E66" s="133"/>
      <c r="F66">
        <f>C46*F58+C47*F59</f>
        <v>-1.2283062728925513</v>
      </c>
      <c r="I66" t="s">
        <v>25</v>
      </c>
      <c r="J66" s="133" t="s">
        <v>155</v>
      </c>
      <c r="K66" s="133"/>
      <c r="L66" s="133"/>
      <c r="M66" s="133"/>
      <c r="N66" s="133"/>
      <c r="O66">
        <f>C46*O58+C47*O59</f>
        <v>-0.7645785081095029</v>
      </c>
    </row>
    <row r="67" spans="1:15" x14ac:dyDescent="0.25">
      <c r="A67" t="s">
        <v>26</v>
      </c>
      <c r="B67" s="133" t="s">
        <v>154</v>
      </c>
      <c r="C67" s="133"/>
      <c r="D67" s="133"/>
      <c r="E67" s="133"/>
      <c r="F67">
        <f>C48*F60+C49*F61</f>
        <v>-6.0114441519844126</v>
      </c>
      <c r="I67" t="s">
        <v>26</v>
      </c>
      <c r="J67" s="133" t="s">
        <v>155</v>
      </c>
      <c r="K67" s="133"/>
      <c r="L67" s="133"/>
      <c r="M67" s="133"/>
      <c r="N67" s="133"/>
      <c r="O67">
        <f>C48*O60+C49*O61</f>
        <v>-3.9140311483214085</v>
      </c>
    </row>
    <row r="70" spans="1:15" x14ac:dyDescent="0.25">
      <c r="A70" s="141" t="s">
        <v>156</v>
      </c>
      <c r="B70" s="141"/>
      <c r="C70" s="141"/>
      <c r="D70" s="141"/>
      <c r="E70" s="141"/>
      <c r="F70" s="141"/>
      <c r="I70" s="141" t="s">
        <v>157</v>
      </c>
      <c r="J70" s="141"/>
      <c r="K70" s="141"/>
      <c r="L70" s="141"/>
      <c r="M70" s="141"/>
      <c r="N70" s="141"/>
      <c r="O70" s="141"/>
    </row>
    <row r="71" spans="1:15" x14ac:dyDescent="0.25">
      <c r="A71" s="2" t="s">
        <v>67</v>
      </c>
      <c r="B71" s="2" t="s">
        <v>144</v>
      </c>
      <c r="C71" s="132" t="s">
        <v>68</v>
      </c>
      <c r="D71" s="132"/>
      <c r="E71" s="132"/>
      <c r="F71" s="2" t="s">
        <v>158</v>
      </c>
      <c r="I71" s="2" t="s">
        <v>67</v>
      </c>
      <c r="J71" s="132" t="s">
        <v>144</v>
      </c>
      <c r="K71" s="132"/>
      <c r="L71" s="132" t="s">
        <v>68</v>
      </c>
      <c r="M71" s="132"/>
      <c r="N71" s="132"/>
      <c r="O71" s="2" t="s">
        <v>159</v>
      </c>
    </row>
    <row r="72" spans="1:15" x14ac:dyDescent="0.25">
      <c r="A72" t="s">
        <v>23</v>
      </c>
      <c r="B72" t="s">
        <v>77</v>
      </c>
      <c r="C72" s="133" t="s">
        <v>160</v>
      </c>
      <c r="D72" s="133"/>
      <c r="E72" s="133"/>
      <c r="F72">
        <f t="shared" ref="F72:F79" si="0">P10*F54</f>
        <v>2.3512059957754516E-3</v>
      </c>
      <c r="I72" t="s">
        <v>23</v>
      </c>
      <c r="J72" s="133" t="s">
        <v>77</v>
      </c>
      <c r="K72" s="133"/>
      <c r="L72" s="133" t="s">
        <v>161</v>
      </c>
      <c r="M72" s="133"/>
      <c r="N72" s="133"/>
      <c r="O72">
        <f t="shared" ref="O72:O79" si="1">P10*O54</f>
        <v>3.8269866521095748E-3</v>
      </c>
    </row>
    <row r="73" spans="1:15" x14ac:dyDescent="0.25">
      <c r="B73" t="s">
        <v>80</v>
      </c>
      <c r="C73" s="133" t="s">
        <v>162</v>
      </c>
      <c r="D73" s="133"/>
      <c r="E73" s="133"/>
      <c r="F73">
        <f t="shared" si="0"/>
        <v>-4.3333776400689308</v>
      </c>
      <c r="J73" s="133" t="s">
        <v>80</v>
      </c>
      <c r="K73" s="133"/>
      <c r="L73" s="133" t="s">
        <v>163</v>
      </c>
      <c r="M73" s="133"/>
      <c r="N73" s="133"/>
      <c r="O73">
        <f t="shared" si="1"/>
        <v>-2.7542923377914188</v>
      </c>
    </row>
    <row r="74" spans="1:15" x14ac:dyDescent="0.25">
      <c r="A74" t="s">
        <v>24</v>
      </c>
      <c r="B74" t="s">
        <v>77</v>
      </c>
      <c r="C74" s="133" t="s">
        <v>164</v>
      </c>
      <c r="D74" s="133"/>
      <c r="E74" s="133"/>
      <c r="F74">
        <f t="shared" si="0"/>
        <v>2.8603523416638396E-3</v>
      </c>
      <c r="I74" t="s">
        <v>24</v>
      </c>
      <c r="J74" s="133" t="s">
        <v>77</v>
      </c>
      <c r="K74" s="133"/>
      <c r="L74" s="133" t="s">
        <v>165</v>
      </c>
      <c r="M74" s="133"/>
      <c r="N74" s="133"/>
      <c r="O74">
        <f t="shared" si="1"/>
        <v>4.2258417294842544E-3</v>
      </c>
    </row>
    <row r="75" spans="1:15" x14ac:dyDescent="0.25">
      <c r="B75" t="s">
        <v>80</v>
      </c>
      <c r="C75" s="133" t="s">
        <v>166</v>
      </c>
      <c r="D75" s="133"/>
      <c r="E75" s="133"/>
      <c r="F75">
        <f t="shared" si="0"/>
        <v>-4.5919944974194991</v>
      </c>
      <c r="J75" s="133" t="s">
        <v>80</v>
      </c>
      <c r="K75" s="133"/>
      <c r="L75" s="133" t="s">
        <v>167</v>
      </c>
      <c r="M75" s="133"/>
      <c r="N75" s="133"/>
      <c r="O75">
        <f t="shared" si="1"/>
        <v>-2.7556843686786054</v>
      </c>
    </row>
    <row r="76" spans="1:15" x14ac:dyDescent="0.25">
      <c r="A76" t="s">
        <v>25</v>
      </c>
      <c r="B76" t="s">
        <v>77</v>
      </c>
      <c r="C76" s="133" t="s">
        <v>168</v>
      </c>
      <c r="D76" s="133"/>
      <c r="E76" s="133"/>
      <c r="F76">
        <f t="shared" si="0"/>
        <v>6.1298930529517454E-3</v>
      </c>
      <c r="I76" t="s">
        <v>25</v>
      </c>
      <c r="J76" s="133" t="s">
        <v>77</v>
      </c>
      <c r="K76" s="133"/>
      <c r="L76" s="133" t="s">
        <v>169</v>
      </c>
      <c r="M76" s="133"/>
      <c r="N76" s="133"/>
      <c r="O76">
        <f t="shared" si="1"/>
        <v>9.0432913599846117E-3</v>
      </c>
    </row>
    <row r="77" spans="1:15" x14ac:dyDescent="0.25">
      <c r="B77" t="s">
        <v>80</v>
      </c>
      <c r="C77" s="133" t="s">
        <v>170</v>
      </c>
      <c r="D77" s="133"/>
      <c r="E77" s="133"/>
      <c r="F77">
        <f t="shared" si="0"/>
        <v>-4.7528012216257505</v>
      </c>
      <c r="J77" s="133" t="s">
        <v>80</v>
      </c>
      <c r="K77" s="133"/>
      <c r="L77" s="133" t="s">
        <v>171</v>
      </c>
      <c r="M77" s="133"/>
      <c r="N77" s="133"/>
      <c r="O77">
        <f t="shared" si="1"/>
        <v>-2.9636833212768678</v>
      </c>
    </row>
    <row r="78" spans="1:15" x14ac:dyDescent="0.25">
      <c r="A78" t="s">
        <v>26</v>
      </c>
      <c r="B78" t="s">
        <v>91</v>
      </c>
      <c r="C78" s="133" t="s">
        <v>172</v>
      </c>
      <c r="D78" s="133"/>
      <c r="E78" s="133"/>
      <c r="F78">
        <f t="shared" si="0"/>
        <v>9.444069309717102E-3</v>
      </c>
      <c r="I78" t="s">
        <v>26</v>
      </c>
      <c r="J78" s="133" t="s">
        <v>91</v>
      </c>
      <c r="K78" s="133"/>
      <c r="L78" s="133" t="s">
        <v>173</v>
      </c>
      <c r="M78" s="133"/>
      <c r="N78" s="133"/>
      <c r="O78">
        <f t="shared" si="1"/>
        <v>1.219887150194271E-2</v>
      </c>
    </row>
    <row r="79" spans="1:15" x14ac:dyDescent="0.25">
      <c r="B79" t="s">
        <v>80</v>
      </c>
      <c r="C79" s="133" t="s">
        <v>174</v>
      </c>
      <c r="D79" s="133"/>
      <c r="E79" s="133"/>
      <c r="F79">
        <f t="shared" si="0"/>
        <v>-6.2943437249940519</v>
      </c>
      <c r="J79" s="133" t="s">
        <v>80</v>
      </c>
      <c r="K79" s="133"/>
      <c r="L79" s="133" t="s">
        <v>175</v>
      </c>
      <c r="M79" s="133"/>
      <c r="N79" s="133"/>
      <c r="O79">
        <f t="shared" si="1"/>
        <v>-4.1042759821746939</v>
      </c>
    </row>
    <row r="80" spans="1:15" x14ac:dyDescent="0.25">
      <c r="A80" s="141" t="s">
        <v>176</v>
      </c>
      <c r="B80" s="141"/>
      <c r="C80" s="141"/>
      <c r="D80" s="141"/>
      <c r="E80" s="141"/>
      <c r="F80" s="141"/>
      <c r="I80" s="141" t="s">
        <v>177</v>
      </c>
      <c r="J80" s="141"/>
      <c r="K80" s="141"/>
      <c r="L80" s="141"/>
      <c r="M80" s="141"/>
      <c r="N80" s="141"/>
      <c r="O80" s="141"/>
    </row>
    <row r="81" spans="1:22" x14ac:dyDescent="0.25">
      <c r="A81" s="2" t="s">
        <v>67</v>
      </c>
      <c r="B81" s="132" t="s">
        <v>68</v>
      </c>
      <c r="C81" s="132"/>
      <c r="D81" s="132"/>
      <c r="E81" s="132"/>
      <c r="F81" s="2" t="s">
        <v>158</v>
      </c>
      <c r="I81" s="2" t="s">
        <v>67</v>
      </c>
      <c r="J81" s="132" t="s">
        <v>68</v>
      </c>
      <c r="K81" s="132"/>
      <c r="L81" s="132"/>
      <c r="M81" s="132"/>
      <c r="N81" s="132"/>
      <c r="O81" s="2" t="s">
        <v>159</v>
      </c>
    </row>
    <row r="82" spans="1:22" x14ac:dyDescent="0.25">
      <c r="A82" t="s">
        <v>23</v>
      </c>
      <c r="B82" s="133" t="s">
        <v>178</v>
      </c>
      <c r="C82" s="133"/>
      <c r="D82" s="133"/>
      <c r="E82" s="133"/>
      <c r="F82">
        <f>Q19*F64</f>
        <v>-4.3310264340731548</v>
      </c>
      <c r="I82" t="s">
        <v>23</v>
      </c>
      <c r="J82" s="133" t="s">
        <v>179</v>
      </c>
      <c r="K82" s="133"/>
      <c r="L82" s="133"/>
      <c r="M82" s="133"/>
      <c r="N82" s="133"/>
      <c r="O82">
        <f>Q19*O64</f>
        <v>-2.7504653511393093</v>
      </c>
    </row>
    <row r="83" spans="1:22" x14ac:dyDescent="0.25">
      <c r="A83" t="s">
        <v>24</v>
      </c>
      <c r="B83" s="133" t="s">
        <v>180</v>
      </c>
      <c r="C83" s="133"/>
      <c r="D83" s="133"/>
      <c r="E83" s="133"/>
      <c r="F83">
        <f>Q20*F65</f>
        <v>-4.5891341450778347</v>
      </c>
      <c r="I83" t="s">
        <v>24</v>
      </c>
      <c r="J83" s="133" t="s">
        <v>181</v>
      </c>
      <c r="K83" s="133"/>
      <c r="L83" s="133"/>
      <c r="M83" s="133"/>
      <c r="N83" s="133"/>
      <c r="O83">
        <f>Q20*O65</f>
        <v>-2.7514585269491212</v>
      </c>
    </row>
    <row r="84" spans="1:22" x14ac:dyDescent="0.25">
      <c r="A84" t="s">
        <v>25</v>
      </c>
      <c r="B84" s="133" t="s">
        <v>182</v>
      </c>
      <c r="C84" s="133"/>
      <c r="D84" s="133"/>
      <c r="E84" s="133"/>
      <c r="F84">
        <f>Q21*F66</f>
        <v>-4.7466713285727993</v>
      </c>
      <c r="I84" t="s">
        <v>25</v>
      </c>
      <c r="J84" s="133" t="s">
        <v>183</v>
      </c>
      <c r="K84" s="133"/>
      <c r="L84" s="133"/>
      <c r="M84" s="133"/>
      <c r="N84" s="133"/>
      <c r="O84">
        <f>Q21*O66</f>
        <v>-2.9546400299168831</v>
      </c>
    </row>
    <row r="85" spans="1:22" x14ac:dyDescent="0.25">
      <c r="A85" t="s">
        <v>26</v>
      </c>
      <c r="B85" s="133" t="s">
        <v>184</v>
      </c>
      <c r="C85" s="133"/>
      <c r="D85" s="133"/>
      <c r="E85" s="133"/>
      <c r="F85">
        <f>Q22*F67</f>
        <v>-6.2848996556843355</v>
      </c>
      <c r="I85" t="s">
        <v>26</v>
      </c>
      <c r="J85" s="133" t="s">
        <v>185</v>
      </c>
      <c r="K85" s="133"/>
      <c r="L85" s="133"/>
      <c r="M85" s="133"/>
      <c r="N85" s="133"/>
      <c r="O85">
        <f>Q22*O67</f>
        <v>-4.0920771106727516</v>
      </c>
    </row>
    <row r="88" spans="1:22" x14ac:dyDescent="0.25">
      <c r="A88" s="140" t="s">
        <v>186</v>
      </c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</row>
    <row r="89" spans="1:22" x14ac:dyDescent="0.25">
      <c r="A89" s="141" t="s">
        <v>142</v>
      </c>
      <c r="B89" s="141"/>
      <c r="C89" s="141"/>
      <c r="D89" s="141"/>
      <c r="E89" s="141"/>
      <c r="F89" s="141"/>
      <c r="I89" s="141" t="s">
        <v>143</v>
      </c>
      <c r="J89" s="141"/>
      <c r="K89" s="141"/>
      <c r="L89" s="141"/>
      <c r="M89" s="141"/>
      <c r="N89" s="141"/>
      <c r="O89" s="141"/>
      <c r="R89" s="136" t="s">
        <v>187</v>
      </c>
      <c r="S89" s="136"/>
      <c r="T89" s="136"/>
      <c r="U89" s="136"/>
      <c r="V89" s="136"/>
    </row>
    <row r="90" spans="1:22" x14ac:dyDescent="0.25">
      <c r="A90" s="2" t="s">
        <v>67</v>
      </c>
      <c r="B90" s="2" t="s">
        <v>144</v>
      </c>
      <c r="C90" s="132" t="s">
        <v>68</v>
      </c>
      <c r="D90" s="132"/>
      <c r="E90" s="132"/>
      <c r="F90" s="2" t="s">
        <v>145</v>
      </c>
      <c r="I90" s="2" t="s">
        <v>67</v>
      </c>
      <c r="J90" s="132" t="s">
        <v>144</v>
      </c>
      <c r="K90" s="132"/>
      <c r="L90" s="132" t="s">
        <v>68</v>
      </c>
      <c r="M90" s="132"/>
      <c r="N90" s="132"/>
      <c r="O90" s="2" t="s">
        <v>146</v>
      </c>
      <c r="R90" s="2" t="s">
        <v>67</v>
      </c>
      <c r="S90" s="132" t="s">
        <v>68</v>
      </c>
      <c r="T90" s="132"/>
      <c r="U90" s="2" t="s">
        <v>46</v>
      </c>
      <c r="V90" s="2" t="s">
        <v>114</v>
      </c>
    </row>
    <row r="91" spans="1:22" x14ac:dyDescent="0.25">
      <c r="A91" t="s">
        <v>23</v>
      </c>
      <c r="B91" t="s">
        <v>77</v>
      </c>
      <c r="C91" s="133" t="s">
        <v>188</v>
      </c>
      <c r="D91" s="133"/>
      <c r="E91" s="133"/>
      <c r="F91">
        <f>(U98*U91)/(1-U105)</f>
        <v>2.9654809037870895E-2</v>
      </c>
      <c r="I91" t="s">
        <v>23</v>
      </c>
      <c r="J91" s="133" t="s">
        <v>77</v>
      </c>
      <c r="K91" s="133"/>
      <c r="L91" s="133" t="s">
        <v>148</v>
      </c>
      <c r="M91" s="133"/>
      <c r="N91" s="133"/>
      <c r="O91">
        <f>F91+U91</f>
        <v>6.7576886959948818E-2</v>
      </c>
      <c r="R91" t="s">
        <v>23</v>
      </c>
      <c r="S91" s="133" t="s">
        <v>189</v>
      </c>
      <c r="T91" s="133"/>
      <c r="U91">
        <f>1/(Arrivi!H31+Arrivi!H30)</f>
        <v>3.7922077922077919E-2</v>
      </c>
      <c r="V91">
        <f>1/U91</f>
        <v>26.36986301369863</v>
      </c>
    </row>
    <row r="92" spans="1:22" x14ac:dyDescent="0.25">
      <c r="B92" t="s">
        <v>80</v>
      </c>
      <c r="C92" s="133" t="s">
        <v>190</v>
      </c>
      <c r="D92" s="133"/>
      <c r="E92" s="133"/>
      <c r="F92">
        <f>(U98*U91)/((1-U105)*(1-U98))</f>
        <v>0.13567194887554843</v>
      </c>
      <c r="J92" s="133" t="s">
        <v>80</v>
      </c>
      <c r="K92" s="133"/>
      <c r="L92" s="133" t="s">
        <v>150</v>
      </c>
      <c r="M92" s="133"/>
      <c r="N92" s="133"/>
      <c r="O92">
        <f>F92+U91</f>
        <v>0.17359402679762634</v>
      </c>
      <c r="R92" t="s">
        <v>24</v>
      </c>
      <c r="S92" s="133" t="s">
        <v>191</v>
      </c>
      <c r="T92" s="133"/>
      <c r="U92">
        <f>1/(Arrivi!H33+Arrivi!H34)</f>
        <v>6.0671542553191488E-2</v>
      </c>
      <c r="V92">
        <f>1/U92</f>
        <v>16.482191780821918</v>
      </c>
    </row>
    <row r="93" spans="1:22" x14ac:dyDescent="0.25">
      <c r="A93" t="s">
        <v>24</v>
      </c>
      <c r="B93" t="s">
        <v>77</v>
      </c>
      <c r="C93" s="133" t="s">
        <v>188</v>
      </c>
      <c r="D93" s="133"/>
      <c r="E93" s="133"/>
      <c r="F93">
        <f>(U99*U92)/(1-U107)</f>
        <v>4.8060713119710698E-2</v>
      </c>
      <c r="I93" t="s">
        <v>24</v>
      </c>
      <c r="J93" s="133" t="s">
        <v>77</v>
      </c>
      <c r="K93" s="133"/>
      <c r="L93" s="133" t="s">
        <v>148</v>
      </c>
      <c r="M93" s="133"/>
      <c r="N93" s="133"/>
      <c r="O93">
        <f>F93+U92</f>
        <v>0.10873225567290218</v>
      </c>
      <c r="R93" t="s">
        <v>25</v>
      </c>
      <c r="S93" s="133" t="s">
        <v>192</v>
      </c>
      <c r="T93" s="133"/>
      <c r="U93">
        <f>1/(Arrivi!H36+Arrivi!H37)</f>
        <v>0.19466666666666668</v>
      </c>
      <c r="V93">
        <f>1/U93</f>
        <v>5.1369863013698627</v>
      </c>
    </row>
    <row r="94" spans="1:22" x14ac:dyDescent="0.25">
      <c r="B94" t="s">
        <v>80</v>
      </c>
      <c r="C94" s="133" t="s">
        <v>190</v>
      </c>
      <c r="D94" s="133"/>
      <c r="E94" s="133"/>
      <c r="F94">
        <f>(U99*U92)/((1-U107)*(1-U99))</f>
        <v>0.23070608103349363</v>
      </c>
      <c r="J94" s="133" t="s">
        <v>80</v>
      </c>
      <c r="K94" s="133"/>
      <c r="L94" s="133" t="s">
        <v>150</v>
      </c>
      <c r="M94" s="133"/>
      <c r="N94" s="133"/>
      <c r="O94">
        <f>F94+U92</f>
        <v>0.29137762358668512</v>
      </c>
      <c r="R94" t="s">
        <v>26</v>
      </c>
      <c r="S94" s="133" t="s">
        <v>193</v>
      </c>
      <c r="T94" s="133"/>
      <c r="U94">
        <f>1/(Arrivi!H39+Arrivi!H40)</f>
        <v>0.72709163346613537</v>
      </c>
      <c r="V94">
        <f>1/U94</f>
        <v>1.3753424657534248</v>
      </c>
    </row>
    <row r="95" spans="1:22" x14ac:dyDescent="0.25">
      <c r="A95" t="s">
        <v>25</v>
      </c>
      <c r="B95" t="s">
        <v>77</v>
      </c>
      <c r="C95" s="133" t="s">
        <v>188</v>
      </c>
      <c r="D95" s="133"/>
      <c r="E95" s="133"/>
      <c r="F95">
        <f>(U100*U93)/(1-U109)</f>
        <v>0.14662132696261998</v>
      </c>
      <c r="I95" t="s">
        <v>25</v>
      </c>
      <c r="J95" s="133" t="s">
        <v>77</v>
      </c>
      <c r="K95" s="133"/>
      <c r="L95" s="133" t="s">
        <v>148</v>
      </c>
      <c r="M95" s="133"/>
      <c r="N95" s="133"/>
      <c r="O95">
        <f>F95+U93</f>
        <v>0.34128799362928663</v>
      </c>
    </row>
    <row r="96" spans="1:22" x14ac:dyDescent="0.25">
      <c r="B96" t="s">
        <v>80</v>
      </c>
      <c r="C96" s="133" t="s">
        <v>190</v>
      </c>
      <c r="D96" s="133"/>
      <c r="E96" s="133"/>
      <c r="F96">
        <f>(U100*U93)/((1-U109)*(1-U100))</f>
        <v>0.59186080204660962</v>
      </c>
      <c r="J96" s="133" t="s">
        <v>80</v>
      </c>
      <c r="K96" s="133"/>
      <c r="L96" s="133" t="s">
        <v>150</v>
      </c>
      <c r="M96" s="133"/>
      <c r="N96" s="133"/>
      <c r="O96">
        <f>F96+U93</f>
        <v>0.78652746871327628</v>
      </c>
    </row>
    <row r="97" spans="1:21" x14ac:dyDescent="0.25">
      <c r="A97" t="s">
        <v>26</v>
      </c>
      <c r="B97" t="s">
        <v>91</v>
      </c>
      <c r="C97" s="133" t="s">
        <v>188</v>
      </c>
      <c r="D97" s="133"/>
      <c r="E97" s="133"/>
      <c r="F97">
        <f>(U101*U94)/(1-U111)</f>
        <v>0.55323897499522867</v>
      </c>
      <c r="I97" t="s">
        <v>26</v>
      </c>
      <c r="J97" s="133" t="s">
        <v>91</v>
      </c>
      <c r="K97" s="133"/>
      <c r="L97" s="133" t="s">
        <v>148</v>
      </c>
      <c r="M97" s="133"/>
      <c r="N97" s="133"/>
      <c r="O97">
        <f>F97+U93</f>
        <v>0.74790564166189533</v>
      </c>
      <c r="R97" s="137" t="s">
        <v>128</v>
      </c>
      <c r="S97" s="137"/>
      <c r="T97" s="137"/>
      <c r="U97" s="137"/>
    </row>
    <row r="98" spans="1:21" x14ac:dyDescent="0.25">
      <c r="B98" t="s">
        <v>80</v>
      </c>
      <c r="C98" s="133" t="s">
        <v>190</v>
      </c>
      <c r="D98" s="133"/>
      <c r="E98" s="133"/>
      <c r="F98">
        <f>(U101*U94)/((1-U111)*(1-U101))</f>
        <v>2.3067619058366273</v>
      </c>
      <c r="J98" s="133" t="s">
        <v>80</v>
      </c>
      <c r="K98" s="133"/>
      <c r="L98" s="133" t="s">
        <v>150</v>
      </c>
      <c r="M98" s="133"/>
      <c r="N98" s="133"/>
      <c r="O98">
        <f>F98+U94</f>
        <v>3.0338535393027626</v>
      </c>
      <c r="R98" t="s">
        <v>23</v>
      </c>
      <c r="S98" s="139" t="s">
        <v>130</v>
      </c>
      <c r="T98" s="139"/>
      <c r="U98">
        <f>Q19*U91</f>
        <v>0.7814226943472804</v>
      </c>
    </row>
    <row r="99" spans="1:21" x14ac:dyDescent="0.25">
      <c r="A99" s="141" t="s">
        <v>152</v>
      </c>
      <c r="B99" s="141"/>
      <c r="C99" s="141"/>
      <c r="D99" s="141"/>
      <c r="E99" s="141"/>
      <c r="F99" s="141"/>
      <c r="I99" s="141" t="s">
        <v>153</v>
      </c>
      <c r="J99" s="141"/>
      <c r="K99" s="141"/>
      <c r="L99" s="141"/>
      <c r="M99" s="141"/>
      <c r="N99" s="141"/>
      <c r="O99" s="141"/>
      <c r="R99" t="s">
        <v>24</v>
      </c>
      <c r="S99" s="139" t="s">
        <v>132</v>
      </c>
      <c r="T99" s="139"/>
      <c r="U99">
        <f>Q20*U92</f>
        <v>0.79167990325866922</v>
      </c>
    </row>
    <row r="100" spans="1:21" x14ac:dyDescent="0.25">
      <c r="A100" s="2" t="s">
        <v>67</v>
      </c>
      <c r="B100" s="132" t="s">
        <v>68</v>
      </c>
      <c r="C100" s="132"/>
      <c r="D100" s="132"/>
      <c r="E100" s="132"/>
      <c r="F100" s="2" t="s">
        <v>145</v>
      </c>
      <c r="I100" s="2" t="s">
        <v>67</v>
      </c>
      <c r="J100" s="132" t="s">
        <v>68</v>
      </c>
      <c r="K100" s="132"/>
      <c r="L100" s="132"/>
      <c r="M100" s="132"/>
      <c r="N100" s="132"/>
      <c r="O100" s="2" t="s">
        <v>146</v>
      </c>
      <c r="R100" t="s">
        <v>25</v>
      </c>
      <c r="S100" s="139" t="s">
        <v>133</v>
      </c>
      <c r="T100" s="139"/>
      <c r="U100">
        <f>Q21*U93</f>
        <v>0.75227059055843104</v>
      </c>
    </row>
    <row r="101" spans="1:21" x14ac:dyDescent="0.25">
      <c r="A101" t="s">
        <v>23</v>
      </c>
      <c r="B101" s="133" t="s">
        <v>154</v>
      </c>
      <c r="C101" s="133"/>
      <c r="D101" s="133"/>
      <c r="E101" s="133"/>
      <c r="F101">
        <f>T105*F91+T106*F92</f>
        <v>0.13557295994946283</v>
      </c>
      <c r="I101" t="s">
        <v>23</v>
      </c>
      <c r="J101" s="133" t="s">
        <v>155</v>
      </c>
      <c r="K101" s="133"/>
      <c r="L101" s="133"/>
      <c r="M101" s="133"/>
      <c r="N101" s="133"/>
      <c r="O101">
        <f>T105*O91+T106*O92</f>
        <v>0.17349503787154075</v>
      </c>
      <c r="R101" t="s">
        <v>26</v>
      </c>
      <c r="S101" s="139" t="s">
        <v>134</v>
      </c>
      <c r="T101" s="139"/>
      <c r="U101">
        <f>Q22*U94</f>
        <v>0.76016641613709268</v>
      </c>
    </row>
    <row r="102" spans="1:21" x14ac:dyDescent="0.25">
      <c r="A102" t="s">
        <v>24</v>
      </c>
      <c r="B102" s="133" t="s">
        <v>154</v>
      </c>
      <c r="C102" s="133"/>
      <c r="D102" s="133"/>
      <c r="E102" s="133"/>
      <c r="F102">
        <f>T107*F93+T108*F94</f>
        <v>0.23057036594364833</v>
      </c>
      <c r="I102" t="s">
        <v>24</v>
      </c>
      <c r="J102" s="133" t="s">
        <v>155</v>
      </c>
      <c r="K102" s="133"/>
      <c r="L102" s="133"/>
      <c r="M102" s="133"/>
      <c r="N102" s="133"/>
      <c r="O102">
        <f>T107*O93+T108*O94</f>
        <v>0.29124190849683984</v>
      </c>
    </row>
    <row r="103" spans="1:21" x14ac:dyDescent="0.25">
      <c r="A103" t="s">
        <v>25</v>
      </c>
      <c r="B103" s="133" t="s">
        <v>154</v>
      </c>
      <c r="C103" s="133"/>
      <c r="D103" s="133"/>
      <c r="E103" s="133"/>
      <c r="F103">
        <f>T109*F95+T110*F96</f>
        <v>0.59113695311946934</v>
      </c>
      <c r="I103" t="s">
        <v>25</v>
      </c>
      <c r="J103" s="133" t="s">
        <v>155</v>
      </c>
      <c r="K103" s="133"/>
      <c r="L103" s="133"/>
      <c r="M103" s="133"/>
      <c r="N103" s="133"/>
      <c r="O103">
        <f>T109*O95+T110*O96</f>
        <v>0.785803619786136</v>
      </c>
      <c r="R103" s="137" t="s">
        <v>135</v>
      </c>
      <c r="S103" s="137"/>
      <c r="T103" s="137"/>
      <c r="U103" s="137"/>
    </row>
    <row r="104" spans="1:21" x14ac:dyDescent="0.25">
      <c r="A104" t="s">
        <v>26</v>
      </c>
      <c r="B104" s="133" t="s">
        <v>154</v>
      </c>
      <c r="C104" s="133"/>
      <c r="D104" s="133"/>
      <c r="E104" s="133"/>
      <c r="F104">
        <f>T111*F97+T112*F98</f>
        <v>2.3045589875818013</v>
      </c>
      <c r="I104" t="s">
        <v>26</v>
      </c>
      <c r="J104" s="133" t="s">
        <v>155</v>
      </c>
      <c r="K104" s="133"/>
      <c r="L104" s="133"/>
      <c r="M104" s="133"/>
      <c r="N104" s="133"/>
      <c r="O104">
        <f>T111*O97+T112*O98</f>
        <v>3.0309817454615051</v>
      </c>
      <c r="R104" s="2" t="s">
        <v>67</v>
      </c>
      <c r="S104" s="2" t="s">
        <v>136</v>
      </c>
      <c r="T104" s="2" t="s">
        <v>137</v>
      </c>
      <c r="U104" s="2" t="s">
        <v>138</v>
      </c>
    </row>
    <row r="105" spans="1:21" x14ac:dyDescent="0.25">
      <c r="R105" t="s">
        <v>23</v>
      </c>
      <c r="S105" t="s">
        <v>139</v>
      </c>
      <c r="T105" s="35">
        <f>P10/Q19</f>
        <v>9.3370681605975739E-4</v>
      </c>
      <c r="U105">
        <f>T105*U98</f>
        <v>7.2961969593583612E-4</v>
      </c>
    </row>
    <row r="106" spans="1:21" x14ac:dyDescent="0.25">
      <c r="S106" t="s">
        <v>140</v>
      </c>
      <c r="T106" s="35">
        <f>P11/Q19</f>
        <v>0.99906629318394036</v>
      </c>
      <c r="U106">
        <f>T106*U98</f>
        <v>0.78069307465134463</v>
      </c>
    </row>
    <row r="107" spans="1:21" x14ac:dyDescent="0.25">
      <c r="A107" s="141" t="s">
        <v>156</v>
      </c>
      <c r="B107" s="141"/>
      <c r="C107" s="141"/>
      <c r="D107" s="141"/>
      <c r="E107" s="141"/>
      <c r="F107" s="141"/>
      <c r="I107" s="141" t="s">
        <v>157</v>
      </c>
      <c r="J107" s="141"/>
      <c r="K107" s="141"/>
      <c r="L107" s="141"/>
      <c r="M107" s="141"/>
      <c r="N107" s="141"/>
      <c r="O107" s="141"/>
      <c r="R107" t="s">
        <v>24</v>
      </c>
      <c r="S107" t="s">
        <v>139</v>
      </c>
      <c r="T107" s="35">
        <f>P12/Q20</f>
        <v>7.4305245950364077E-4</v>
      </c>
      <c r="U107">
        <f>T107*U99</f>
        <v>5.8825969925595852E-4</v>
      </c>
    </row>
    <row r="108" spans="1:21" x14ac:dyDescent="0.25">
      <c r="A108" s="2" t="s">
        <v>67</v>
      </c>
      <c r="B108" s="2" t="s">
        <v>144</v>
      </c>
      <c r="C108" s="132" t="s">
        <v>68</v>
      </c>
      <c r="D108" s="132"/>
      <c r="E108" s="132"/>
      <c r="F108" s="2" t="s">
        <v>158</v>
      </c>
      <c r="I108" s="2" t="s">
        <v>67</v>
      </c>
      <c r="J108" s="132" t="s">
        <v>144</v>
      </c>
      <c r="K108" s="132"/>
      <c r="L108" s="132" t="s">
        <v>68</v>
      </c>
      <c r="M108" s="132"/>
      <c r="N108" s="132"/>
      <c r="O108" s="2" t="s">
        <v>159</v>
      </c>
      <c r="S108" t="s">
        <v>140</v>
      </c>
      <c r="T108" s="35">
        <f>P13/Q20</f>
        <v>0.99925694754049632</v>
      </c>
      <c r="U108">
        <f>T108*U99</f>
        <v>0.79109164355941319</v>
      </c>
    </row>
    <row r="109" spans="1:21" x14ac:dyDescent="0.25">
      <c r="A109" t="s">
        <v>23</v>
      </c>
      <c r="B109" t="s">
        <v>77</v>
      </c>
      <c r="C109" s="133" t="s">
        <v>160</v>
      </c>
      <c r="D109" s="133"/>
      <c r="E109" s="133"/>
      <c r="F109" s="4">
        <f t="shared" ref="F109:F116" si="2">P10*F91</f>
        <v>5.7055767876712049E-4</v>
      </c>
      <c r="I109" t="s">
        <v>23</v>
      </c>
      <c r="J109" s="133" t="s">
        <v>77</v>
      </c>
      <c r="K109" s="133"/>
      <c r="L109" s="133" t="s">
        <v>161</v>
      </c>
      <c r="M109" s="133"/>
      <c r="N109" s="133"/>
      <c r="O109">
        <f t="shared" ref="O109:O116" si="3">P10*O91</f>
        <v>1.3001773747029566E-3</v>
      </c>
      <c r="R109" t="s">
        <v>25</v>
      </c>
      <c r="S109" t="s">
        <v>139</v>
      </c>
      <c r="T109" s="35">
        <f>P14/Q21</f>
        <v>1.6257519102584944E-3</v>
      </c>
      <c r="U109">
        <f>T109*U100</f>
        <v>1.2230053496316549E-3</v>
      </c>
    </row>
    <row r="110" spans="1:21" x14ac:dyDescent="0.25">
      <c r="B110" t="s">
        <v>80</v>
      </c>
      <c r="C110" s="133" t="s">
        <v>162</v>
      </c>
      <c r="D110" s="133"/>
      <c r="E110" s="133"/>
      <c r="F110" s="4">
        <f t="shared" si="2"/>
        <v>2.7930471302029383</v>
      </c>
      <c r="J110" s="133" t="s">
        <v>80</v>
      </c>
      <c r="K110" s="133"/>
      <c r="L110" s="133" t="s">
        <v>163</v>
      </c>
      <c r="M110" s="133"/>
      <c r="N110" s="133"/>
      <c r="O110">
        <f t="shared" si="3"/>
        <v>3.5737402048542828</v>
      </c>
      <c r="S110" t="s">
        <v>140</v>
      </c>
      <c r="T110" s="35">
        <f>P15/Q21</f>
        <v>0.99837424808974151</v>
      </c>
      <c r="U110">
        <f>T110*U100</f>
        <v>0.75104758520879944</v>
      </c>
    </row>
    <row r="111" spans="1:21" x14ac:dyDescent="0.25">
      <c r="A111" t="s">
        <v>24</v>
      </c>
      <c r="B111" t="s">
        <v>77</v>
      </c>
      <c r="C111" s="133" t="s">
        <v>164</v>
      </c>
      <c r="D111" s="133"/>
      <c r="E111" s="133"/>
      <c r="F111" s="4">
        <f t="shared" si="2"/>
        <v>4.6598750346657741E-4</v>
      </c>
      <c r="I111" t="s">
        <v>24</v>
      </c>
      <c r="J111" s="133" t="s">
        <v>77</v>
      </c>
      <c r="K111" s="133"/>
      <c r="L111" s="133" t="s">
        <v>165</v>
      </c>
      <c r="M111" s="133"/>
      <c r="N111" s="133"/>
      <c r="O111">
        <f t="shared" si="3"/>
        <v>1.0542472027225359E-3</v>
      </c>
      <c r="R111" t="s">
        <v>26</v>
      </c>
      <c r="S111" t="s">
        <v>139</v>
      </c>
      <c r="T111" s="35">
        <f>P16/Q22</f>
        <v>1.2562814070351759E-3</v>
      </c>
      <c r="U111">
        <f>T111*U101</f>
        <v>9.5498293484559378E-4</v>
      </c>
    </row>
    <row r="112" spans="1:21" x14ac:dyDescent="0.25">
      <c r="B112" t="s">
        <v>80</v>
      </c>
      <c r="C112" s="133" t="s">
        <v>166</v>
      </c>
      <c r="D112" s="133"/>
      <c r="E112" s="133"/>
      <c r="F112" s="4">
        <f t="shared" si="2"/>
        <v>3.0081590996953671</v>
      </c>
      <c r="J112" s="133" t="s">
        <v>80</v>
      </c>
      <c r="K112" s="133"/>
      <c r="L112" s="133" t="s">
        <v>167</v>
      </c>
      <c r="M112" s="133"/>
      <c r="N112" s="133"/>
      <c r="O112">
        <f t="shared" si="3"/>
        <v>3.7992507432547802</v>
      </c>
      <c r="S112" t="s">
        <v>140</v>
      </c>
      <c r="T112" s="35">
        <f>P17/Q22</f>
        <v>0.99874371859296485</v>
      </c>
      <c r="U112">
        <f>T112*U101</f>
        <v>0.75921143320224715</v>
      </c>
    </row>
    <row r="113" spans="1:20" x14ac:dyDescent="0.25">
      <c r="A113" t="s">
        <v>25</v>
      </c>
      <c r="B113" t="s">
        <v>77</v>
      </c>
      <c r="C113" s="133" t="s">
        <v>168</v>
      </c>
      <c r="D113" s="133"/>
      <c r="E113" s="133"/>
      <c r="F113" s="4">
        <f t="shared" si="2"/>
        <v>9.2115753721939855E-4</v>
      </c>
      <c r="I113" t="s">
        <v>25</v>
      </c>
      <c r="J113" s="133" t="s">
        <v>77</v>
      </c>
      <c r="K113" s="133"/>
      <c r="L113" s="133" t="s">
        <v>169</v>
      </c>
      <c r="M113" s="133"/>
      <c r="N113" s="133"/>
      <c r="O113">
        <f t="shared" si="3"/>
        <v>2.1441628868510533E-3</v>
      </c>
    </row>
    <row r="114" spans="1:20" x14ac:dyDescent="0.25">
      <c r="B114" t="s">
        <v>80</v>
      </c>
      <c r="C114" s="133" t="s">
        <v>170</v>
      </c>
      <c r="D114" s="133"/>
      <c r="E114" s="133"/>
      <c r="F114" s="4">
        <f t="shared" si="2"/>
        <v>2.2834706823125823</v>
      </c>
      <c r="J114" s="133" t="s">
        <v>80</v>
      </c>
      <c r="K114" s="133"/>
      <c r="L114" s="133" t="s">
        <v>171</v>
      </c>
      <c r="M114" s="133"/>
      <c r="N114" s="133"/>
      <c r="O114">
        <f t="shared" si="3"/>
        <v>3.0345182675213818</v>
      </c>
    </row>
    <row r="115" spans="1:20" x14ac:dyDescent="0.25">
      <c r="A115" t="s">
        <v>26</v>
      </c>
      <c r="B115" t="s">
        <v>91</v>
      </c>
      <c r="C115" s="133" t="s">
        <v>172</v>
      </c>
      <c r="D115" s="133"/>
      <c r="E115" s="133"/>
      <c r="F115" s="4">
        <f t="shared" si="2"/>
        <v>7.2663988374241004E-4</v>
      </c>
      <c r="I115" t="s">
        <v>26</v>
      </c>
      <c r="J115" s="133" t="s">
        <v>91</v>
      </c>
      <c r="K115" s="133"/>
      <c r="L115" s="133" t="s">
        <v>173</v>
      </c>
      <c r="M115" s="133"/>
      <c r="N115" s="133"/>
      <c r="O115">
        <f t="shared" si="3"/>
        <v>9.823206481650703E-4</v>
      </c>
    </row>
    <row r="116" spans="1:20" x14ac:dyDescent="0.25">
      <c r="B116" t="s">
        <v>80</v>
      </c>
      <c r="C116" s="133" t="s">
        <v>174</v>
      </c>
      <c r="D116" s="133"/>
      <c r="E116" s="133"/>
      <c r="F116" s="4">
        <f t="shared" si="2"/>
        <v>2.4086647844341362</v>
      </c>
      <c r="J116" s="133" t="s">
        <v>80</v>
      </c>
      <c r="K116" s="133"/>
      <c r="L116" s="133" t="s">
        <v>175</v>
      </c>
      <c r="M116" s="133"/>
      <c r="N116" s="133"/>
      <c r="O116">
        <f t="shared" si="3"/>
        <v>3.1678762176363828</v>
      </c>
      <c r="S116" s="142" t="s">
        <v>151</v>
      </c>
      <c r="T116" s="142"/>
    </row>
    <row r="117" spans="1:20" x14ac:dyDescent="0.25">
      <c r="A117" s="141" t="s">
        <v>176</v>
      </c>
      <c r="B117" s="141"/>
      <c r="C117" s="141"/>
      <c r="D117" s="141"/>
      <c r="E117" s="141"/>
      <c r="F117" s="141"/>
      <c r="I117" s="141" t="s">
        <v>177</v>
      </c>
      <c r="J117" s="141"/>
      <c r="K117" s="141"/>
      <c r="L117" s="141"/>
      <c r="M117" s="141"/>
      <c r="N117" s="141"/>
      <c r="O117" s="141"/>
      <c r="S117" t="s">
        <v>23</v>
      </c>
      <c r="T117" t="b">
        <f>IF(Q19&lt;=V91,TRUE())</f>
        <v>1</v>
      </c>
    </row>
    <row r="118" spans="1:20" x14ac:dyDescent="0.25">
      <c r="A118" s="2" t="s">
        <v>67</v>
      </c>
      <c r="B118" s="132" t="s">
        <v>68</v>
      </c>
      <c r="C118" s="132"/>
      <c r="D118" s="132"/>
      <c r="E118" s="132"/>
      <c r="F118" s="2" t="s">
        <v>158</v>
      </c>
      <c r="I118" s="2" t="s">
        <v>67</v>
      </c>
      <c r="J118" s="132" t="s">
        <v>68</v>
      </c>
      <c r="K118" s="132"/>
      <c r="L118" s="132"/>
      <c r="M118" s="132"/>
      <c r="N118" s="132"/>
      <c r="O118" s="2" t="s">
        <v>159</v>
      </c>
      <c r="S118" t="s">
        <v>24</v>
      </c>
      <c r="T118" t="b">
        <f>IF(Q20&lt;=V92,TRUE())</f>
        <v>1</v>
      </c>
    </row>
    <row r="119" spans="1:20" x14ac:dyDescent="0.25">
      <c r="A119" t="s">
        <v>23</v>
      </c>
      <c r="B119" s="133" t="s">
        <v>178</v>
      </c>
      <c r="C119" s="133"/>
      <c r="D119" s="133"/>
      <c r="E119" s="133"/>
      <c r="F119">
        <f>Q19*F101</f>
        <v>2.7936176878817052</v>
      </c>
      <c r="I119" t="s">
        <v>23</v>
      </c>
      <c r="J119" s="133" t="s">
        <v>179</v>
      </c>
      <c r="K119" s="133"/>
      <c r="L119" s="133"/>
      <c r="M119" s="133"/>
      <c r="N119" s="133"/>
      <c r="O119">
        <f>Q19*O101</f>
        <v>3.5750403822289853</v>
      </c>
      <c r="S119" t="s">
        <v>25</v>
      </c>
      <c r="T119" t="b">
        <f>IF(Q21&lt;=V93,TRUE())</f>
        <v>1</v>
      </c>
    </row>
    <row r="120" spans="1:20" x14ac:dyDescent="0.25">
      <c r="A120" t="s">
        <v>24</v>
      </c>
      <c r="B120" s="133" t="s">
        <v>180</v>
      </c>
      <c r="C120" s="133"/>
      <c r="D120" s="133"/>
      <c r="E120" s="133"/>
      <c r="F120">
        <f>Q20*F102</f>
        <v>3.0086250871988334</v>
      </c>
      <c r="I120" t="s">
        <v>24</v>
      </c>
      <c r="J120" s="133" t="s">
        <v>181</v>
      </c>
      <c r="K120" s="133"/>
      <c r="L120" s="133"/>
      <c r="M120" s="133"/>
      <c r="N120" s="133"/>
      <c r="O120">
        <f>Q20*O102</f>
        <v>3.8003049904575028</v>
      </c>
      <c r="S120" t="s">
        <v>26</v>
      </c>
      <c r="T120" t="b">
        <f>IF(Q22&lt;=V94,TRUE())</f>
        <v>1</v>
      </c>
    </row>
    <row r="121" spans="1:20" x14ac:dyDescent="0.25">
      <c r="A121" t="s">
        <v>25</v>
      </c>
      <c r="B121" s="133" t="s">
        <v>182</v>
      </c>
      <c r="C121" s="133"/>
      <c r="D121" s="133"/>
      <c r="E121" s="133"/>
      <c r="F121">
        <f>Q21*F103</f>
        <v>2.284391839849802</v>
      </c>
      <c r="I121" t="s">
        <v>25</v>
      </c>
      <c r="J121" s="133" t="s">
        <v>183</v>
      </c>
      <c r="K121" s="133"/>
      <c r="L121" s="133"/>
      <c r="M121" s="133"/>
      <c r="N121" s="133"/>
      <c r="O121">
        <f>Q21*O103</f>
        <v>3.0366624304082328</v>
      </c>
    </row>
    <row r="122" spans="1:20" x14ac:dyDescent="0.25">
      <c r="A122" t="s">
        <v>26</v>
      </c>
      <c r="B122" s="133" t="s">
        <v>184</v>
      </c>
      <c r="C122" s="133"/>
      <c r="D122" s="133"/>
      <c r="E122" s="133"/>
      <c r="F122">
        <f>Q22*F104</f>
        <v>2.4093914243178784</v>
      </c>
      <c r="I122" t="s">
        <v>26</v>
      </c>
      <c r="J122" s="133" t="s">
        <v>185</v>
      </c>
      <c r="K122" s="133"/>
      <c r="L122" s="133"/>
      <c r="M122" s="133"/>
      <c r="N122" s="133"/>
      <c r="O122">
        <f>Q22*O104</f>
        <v>3.1688585382845482</v>
      </c>
    </row>
  </sheetData>
  <mergeCells count="263">
    <mergeCell ref="B121:E121"/>
    <mergeCell ref="J121:N121"/>
    <mergeCell ref="B122:E122"/>
    <mergeCell ref="J122:N122"/>
    <mergeCell ref="S116:T116"/>
    <mergeCell ref="A117:F117"/>
    <mergeCell ref="I117:O117"/>
    <mergeCell ref="B118:E118"/>
    <mergeCell ref="J118:N118"/>
    <mergeCell ref="B119:E119"/>
    <mergeCell ref="J119:N119"/>
    <mergeCell ref="B120:E120"/>
    <mergeCell ref="J120:N120"/>
    <mergeCell ref="C114:E114"/>
    <mergeCell ref="J114:K114"/>
    <mergeCell ref="L114:N114"/>
    <mergeCell ref="C115:E115"/>
    <mergeCell ref="J115:K115"/>
    <mergeCell ref="L115:N115"/>
    <mergeCell ref="C116:E116"/>
    <mergeCell ref="J116:K116"/>
    <mergeCell ref="L116:N116"/>
    <mergeCell ref="C111:E111"/>
    <mergeCell ref="J111:K111"/>
    <mergeCell ref="L111:N111"/>
    <mergeCell ref="C112:E112"/>
    <mergeCell ref="J112:K112"/>
    <mergeCell ref="L112:N112"/>
    <mergeCell ref="C113:E113"/>
    <mergeCell ref="J113:K113"/>
    <mergeCell ref="L113:N113"/>
    <mergeCell ref="A107:F107"/>
    <mergeCell ref="I107:O107"/>
    <mergeCell ref="C108:E108"/>
    <mergeCell ref="J108:K108"/>
    <mergeCell ref="L108:N108"/>
    <mergeCell ref="C109:E109"/>
    <mergeCell ref="J109:K109"/>
    <mergeCell ref="L109:N109"/>
    <mergeCell ref="C110:E110"/>
    <mergeCell ref="J110:K110"/>
    <mergeCell ref="L110:N110"/>
    <mergeCell ref="B101:E101"/>
    <mergeCell ref="J101:N101"/>
    <mergeCell ref="S101:T101"/>
    <mergeCell ref="B102:E102"/>
    <mergeCell ref="J102:N102"/>
    <mergeCell ref="B103:E103"/>
    <mergeCell ref="J103:N103"/>
    <mergeCell ref="R103:U103"/>
    <mergeCell ref="B104:E104"/>
    <mergeCell ref="J104:N104"/>
    <mergeCell ref="R97:U97"/>
    <mergeCell ref="C98:E98"/>
    <mergeCell ref="J98:K98"/>
    <mergeCell ref="L98:N98"/>
    <mergeCell ref="S98:T98"/>
    <mergeCell ref="A99:F99"/>
    <mergeCell ref="I99:O99"/>
    <mergeCell ref="S99:T99"/>
    <mergeCell ref="B100:E100"/>
    <mergeCell ref="J100:N100"/>
    <mergeCell ref="S100:T100"/>
    <mergeCell ref="C95:E95"/>
    <mergeCell ref="J95:K95"/>
    <mergeCell ref="L95:N95"/>
    <mergeCell ref="C96:E96"/>
    <mergeCell ref="J96:K96"/>
    <mergeCell ref="L96:N96"/>
    <mergeCell ref="C97:E97"/>
    <mergeCell ref="J97:K97"/>
    <mergeCell ref="L97:N97"/>
    <mergeCell ref="C92:E92"/>
    <mergeCell ref="J92:K92"/>
    <mergeCell ref="L92:N92"/>
    <mergeCell ref="S92:T92"/>
    <mergeCell ref="C93:E93"/>
    <mergeCell ref="J93:K93"/>
    <mergeCell ref="L93:N93"/>
    <mergeCell ref="S93:T93"/>
    <mergeCell ref="C94:E94"/>
    <mergeCell ref="J94:K94"/>
    <mergeCell ref="L94:N94"/>
    <mergeCell ref="S94:T94"/>
    <mergeCell ref="A89:F89"/>
    <mergeCell ref="I89:O89"/>
    <mergeCell ref="R89:V89"/>
    <mergeCell ref="C90:E90"/>
    <mergeCell ref="J90:K90"/>
    <mergeCell ref="L90:N90"/>
    <mergeCell ref="S90:T90"/>
    <mergeCell ref="C91:E91"/>
    <mergeCell ref="J91:K91"/>
    <mergeCell ref="L91:N91"/>
    <mergeCell ref="S91:T91"/>
    <mergeCell ref="B82:E82"/>
    <mergeCell ref="J82:N82"/>
    <mergeCell ref="B83:E83"/>
    <mergeCell ref="J83:N83"/>
    <mergeCell ref="B84:E84"/>
    <mergeCell ref="J84:N84"/>
    <mergeCell ref="B85:E85"/>
    <mergeCell ref="J85:N85"/>
    <mergeCell ref="A88:O88"/>
    <mergeCell ref="C78:E78"/>
    <mergeCell ref="J78:K78"/>
    <mergeCell ref="L78:N78"/>
    <mergeCell ref="C79:E79"/>
    <mergeCell ref="J79:K79"/>
    <mergeCell ref="L79:N79"/>
    <mergeCell ref="A80:F80"/>
    <mergeCell ref="I80:O80"/>
    <mergeCell ref="B81:E81"/>
    <mergeCell ref="J81:N81"/>
    <mergeCell ref="C75:E75"/>
    <mergeCell ref="J75:K75"/>
    <mergeCell ref="L75:N75"/>
    <mergeCell ref="C76:E76"/>
    <mergeCell ref="J76:K76"/>
    <mergeCell ref="L76:N76"/>
    <mergeCell ref="C77:E77"/>
    <mergeCell ref="J77:K77"/>
    <mergeCell ref="L77:N77"/>
    <mergeCell ref="C72:E72"/>
    <mergeCell ref="J72:K72"/>
    <mergeCell ref="L72:N72"/>
    <mergeCell ref="C73:E73"/>
    <mergeCell ref="J73:K73"/>
    <mergeCell ref="L73:N73"/>
    <mergeCell ref="C74:E74"/>
    <mergeCell ref="J74:K74"/>
    <mergeCell ref="L74:N74"/>
    <mergeCell ref="B65:E65"/>
    <mergeCell ref="J65:N65"/>
    <mergeCell ref="B66:E66"/>
    <mergeCell ref="J66:N66"/>
    <mergeCell ref="B67:E67"/>
    <mergeCell ref="J67:N67"/>
    <mergeCell ref="A70:F70"/>
    <mergeCell ref="I70:O70"/>
    <mergeCell ref="C71:E71"/>
    <mergeCell ref="J71:K71"/>
    <mergeCell ref="L71:N71"/>
    <mergeCell ref="C61:E61"/>
    <mergeCell ref="J61:K61"/>
    <mergeCell ref="L61:N61"/>
    <mergeCell ref="A62:F62"/>
    <mergeCell ref="I62:O62"/>
    <mergeCell ref="B63:E63"/>
    <mergeCell ref="J63:N63"/>
    <mergeCell ref="B64:E64"/>
    <mergeCell ref="J64:N64"/>
    <mergeCell ref="C58:E58"/>
    <mergeCell ref="J58:K58"/>
    <mergeCell ref="L58:N58"/>
    <mergeCell ref="C59:E59"/>
    <mergeCell ref="J59:K59"/>
    <mergeCell ref="L59:N59"/>
    <mergeCell ref="C60:E60"/>
    <mergeCell ref="J60:K60"/>
    <mergeCell ref="L60:N60"/>
    <mergeCell ref="C55:E55"/>
    <mergeCell ref="J55:K55"/>
    <mergeCell ref="L55:N55"/>
    <mergeCell ref="S55:T55"/>
    <mergeCell ref="C56:E56"/>
    <mergeCell ref="J56:K56"/>
    <mergeCell ref="L56:N56"/>
    <mergeCell ref="C57:E57"/>
    <mergeCell ref="J57:K57"/>
    <mergeCell ref="L57:N57"/>
    <mergeCell ref="A40:D40"/>
    <mergeCell ref="A51:O51"/>
    <mergeCell ref="A52:F52"/>
    <mergeCell ref="I52:O52"/>
    <mergeCell ref="C53:E53"/>
    <mergeCell ref="J53:K53"/>
    <mergeCell ref="L53:N53"/>
    <mergeCell ref="C54:E54"/>
    <mergeCell ref="J54:K54"/>
    <mergeCell ref="L54:N54"/>
    <mergeCell ref="A33:D33"/>
    <mergeCell ref="F33:I33"/>
    <mergeCell ref="B34:C34"/>
    <mergeCell ref="G34:H34"/>
    <mergeCell ref="B35:C35"/>
    <mergeCell ref="G35:H35"/>
    <mergeCell ref="B36:C36"/>
    <mergeCell ref="G36:H36"/>
    <mergeCell ref="B37:C37"/>
    <mergeCell ref="G37:H37"/>
    <mergeCell ref="B28:D28"/>
    <mergeCell ref="J28:M28"/>
    <mergeCell ref="R28:U28"/>
    <mergeCell ref="Z28:AA28"/>
    <mergeCell ref="B29:D29"/>
    <mergeCell ref="J29:M29"/>
    <mergeCell ref="R29:U29"/>
    <mergeCell ref="Z29:AA29"/>
    <mergeCell ref="B30:D30"/>
    <mergeCell ref="J30:M30"/>
    <mergeCell ref="R30:U30"/>
    <mergeCell ref="Z30:AA30"/>
    <mergeCell ref="A25:F25"/>
    <mergeCell ref="I25:N25"/>
    <mergeCell ref="Q25:V25"/>
    <mergeCell ref="Y25:AC25"/>
    <mergeCell ref="B26:D26"/>
    <mergeCell ref="J26:M26"/>
    <mergeCell ref="R26:U26"/>
    <mergeCell ref="Z26:AA26"/>
    <mergeCell ref="B27:D27"/>
    <mergeCell ref="J27:M27"/>
    <mergeCell ref="R27:U27"/>
    <mergeCell ref="Z27:AA27"/>
    <mergeCell ref="A18:G18"/>
    <mergeCell ref="I18:Q18"/>
    <mergeCell ref="C19:F19"/>
    <mergeCell ref="J19:P19"/>
    <mergeCell ref="C20:F20"/>
    <mergeCell ref="J20:P20"/>
    <mergeCell ref="C21:F21"/>
    <mergeCell ref="J21:P21"/>
    <mergeCell ref="C22:F22"/>
    <mergeCell ref="J22:P22"/>
    <mergeCell ref="C15:F15"/>
    <mergeCell ref="J15:K15"/>
    <mergeCell ref="L15:O15"/>
    <mergeCell ref="C16:F16"/>
    <mergeCell ref="J16:K16"/>
    <mergeCell ref="L16:O16"/>
    <mergeCell ref="C17:F17"/>
    <mergeCell ref="J17:K17"/>
    <mergeCell ref="L17:O17"/>
    <mergeCell ref="C12:F12"/>
    <mergeCell ref="J12:K12"/>
    <mergeCell ref="L12:O12"/>
    <mergeCell ref="C13:F13"/>
    <mergeCell ref="J13:K13"/>
    <mergeCell ref="L13:O13"/>
    <mergeCell ref="C14:F14"/>
    <mergeCell ref="J14:K14"/>
    <mergeCell ref="L14:O14"/>
    <mergeCell ref="B6:C6"/>
    <mergeCell ref="H6:J6"/>
    <mergeCell ref="A9:G9"/>
    <mergeCell ref="I9:P9"/>
    <mergeCell ref="C10:F10"/>
    <mergeCell ref="J10:K10"/>
    <mergeCell ref="L10:O10"/>
    <mergeCell ref="C11:F11"/>
    <mergeCell ref="J11:K11"/>
    <mergeCell ref="L11:O11"/>
    <mergeCell ref="A1:E1"/>
    <mergeCell ref="G1:M1"/>
    <mergeCell ref="B2:C2"/>
    <mergeCell ref="H2:J2"/>
    <mergeCell ref="B3:C3"/>
    <mergeCell ref="H3:J3"/>
    <mergeCell ref="B4:C4"/>
    <mergeCell ref="H4:J4"/>
    <mergeCell ref="B5:C5"/>
    <mergeCell ref="H5:J5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Dati_OPTN</vt:lpstr>
      <vt:lpstr>Arrivi</vt:lpstr>
      <vt:lpstr>Uscite</vt:lpstr>
      <vt:lpstr>Verifica - ABO ID - V1</vt:lpstr>
      <vt:lpstr>Foglio2</vt:lpstr>
      <vt:lpstr>Verifica - ABO ID -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Livia Simoncini</cp:lastModifiedBy>
  <cp:revision>13</cp:revision>
  <dcterms:created xsi:type="dcterms:W3CDTF">2015-06-05T18:19:34Z</dcterms:created>
  <dcterms:modified xsi:type="dcterms:W3CDTF">2023-08-23T09:39:11Z</dcterms:modified>
  <dc:language>it-IT</dc:language>
</cp:coreProperties>
</file>